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80" windowWidth="12120" windowHeight="8760" tabRatio="935" firstSheet="65" activeTab="71"/>
  </bookViews>
  <sheets>
    <sheet name="First-Page" sheetId="110" r:id="rId1"/>
    <sheet name="Contents" sheetId="140" r:id="rId2"/>
    <sheet name="Sheet1" sheetId="134" r:id="rId3"/>
    <sheet name="AT-1-Gen_Info" sheetId="142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69" r:id="rId13"/>
    <sheet name="T5_PLAN_vs_PRFM (2)" sheetId="143" r:id="rId14"/>
    <sheet name="T5A_PLAN_vs_PRFM  (3)" sheetId="161" r:id="rId15"/>
    <sheet name="T5B_PLAN_vs_PRFM  (3)" sheetId="145" r:id="rId16"/>
    <sheet name="T5C_Drought_PLAN_vs_PRFM  (2)" sheetId="146" r:id="rId17"/>
    <sheet name="T5D_Drought_PLAN_vs_PRFM   (2)" sheetId="147" r:id="rId18"/>
    <sheet name="T6_FG_py_Utlsn" sheetId="148" r:id="rId19"/>
    <sheet name="T6A_FG_Upy_Utlsn " sheetId="149" r:id="rId20"/>
    <sheet name="T6B_Pay_FG_FCI_Pry" sheetId="150" r:id="rId21"/>
    <sheet name="T6C_Coarse_Grain" sheetId="151" r:id="rId22"/>
    <sheet name="T7_CC_PY_Utlsn" sheetId="152" r:id="rId23"/>
    <sheet name="T7ACC_UPY_Utlsn " sheetId="153" r:id="rId24"/>
    <sheet name="AT-8_Hon_CCH_Pry" sheetId="154" r:id="rId25"/>
    <sheet name="AT-8A_Hon_CCH_UPry" sheetId="155" r:id="rId26"/>
    <sheet name="AT9_TA" sheetId="156" r:id="rId27"/>
    <sheet name="AT10_MME" sheetId="14" r:id="rId28"/>
    <sheet name="AT10A_" sheetId="138" r:id="rId29"/>
    <sheet name="AT-10 B" sheetId="170" r:id="rId30"/>
    <sheet name="AT-10 C" sheetId="123" r:id="rId31"/>
    <sheet name="AT-10D" sheetId="157" r:id="rId32"/>
    <sheet name="AT-10 E" sheetId="162" r:id="rId33"/>
    <sheet name="AT-10 F Drinking Water" sheetId="171" r:id="rId34"/>
    <sheet name="AT11_KS Year wise" sheetId="115" r:id="rId35"/>
    <sheet name="AT11A_KS-District wise" sheetId="172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 (2)" sheetId="158" r:id="rId55"/>
    <sheet name="AT26A_NoWD" sheetId="28" r:id="rId56"/>
    <sheet name="AT27_Req_FG_CA_Pry" sheetId="29" r:id="rId57"/>
    <sheet name="AT27A_Req_FG_CA_UPry" sheetId="163" r:id="rId58"/>
    <sheet name="AT27B_Req_FG_CA_NCLP." sheetId="164" r:id="rId59"/>
    <sheet name="AT27C_Req_FG_Drought -Pry " sheetId="166" r:id="rId60"/>
    <sheet name="AT27D_Req_FG_Drought -UPry " sheetId="165" r:id="rId61"/>
    <sheet name="AT27F_RqFG-Drought-UPy-Remedial" sheetId="174" r:id="rId62"/>
    <sheet name="AT_28_RqmtKitchen" sheetId="62" r:id="rId63"/>
    <sheet name="AT-28A_RqmtPlinthArea" sheetId="78" state="hidden" r:id="rId64"/>
    <sheet name="AT-28A_RqmtPlinthArea (2)" sheetId="159" state="hidden" r:id="rId65"/>
    <sheet name="AT-28A_RqmtPlinth Area" sheetId="160" r:id="rId66"/>
    <sheet name="AT29_K_D" sheetId="72" r:id="rId67"/>
    <sheet name="AT-30_Coook-cum-Helper " sheetId="175" r:id="rId68"/>
    <sheet name="AT_31_Budget_provision" sheetId="173" r:id="rId69"/>
    <sheet name="AT_31_Budget_provision_REmedial" sheetId="176" r:id="rId70"/>
    <sheet name="AT32_Drought Pry Util" sheetId="167" r:id="rId71"/>
    <sheet name="AT-32A Drought UPry Util" sheetId="168" r:id="rId72"/>
  </sheets>
  <externalReferences>
    <externalReference r:id="rId73"/>
    <externalReference r:id="rId74"/>
  </externalReferences>
  <definedNames>
    <definedName name="_xlnm.Print_Area" localSheetId="43">'AT_17_Coverage-RBSK '!$A$1:$L$27</definedName>
    <definedName name="_xlnm.Print_Area" localSheetId="45">AT_19_Impl_Agency!$A$1:$J$24</definedName>
    <definedName name="_xlnm.Print_Area" localSheetId="46">'AT_20_CentralCookingagency '!$A$1:$M$26</definedName>
    <definedName name="_xlnm.Print_Area" localSheetId="62">AT_28_RqmtKitchen!$A$1:$R$26</definedName>
    <definedName name="_xlnm.Print_Area" localSheetId="5">AT_2A_fundflow!$A$1:$V$22</definedName>
    <definedName name="_xlnm.Print_Area" localSheetId="68">AT_31_Budget_provision!$A$1:$W$35</definedName>
    <definedName name="_xlnm.Print_Area" localSheetId="69">AT_31_Budget_provision_REmedial!$A$1:$W$23</definedName>
    <definedName name="_xlnm.Print_Area" localSheetId="29">'AT-10 B'!$A$1:$J$28</definedName>
    <definedName name="_xlnm.Print_Area" localSheetId="30">'AT-10 C'!$A$1:$K$24</definedName>
    <definedName name="_xlnm.Print_Area" localSheetId="32">'AT-10 E'!$A$1:$G$23</definedName>
    <definedName name="_xlnm.Print_Area" localSheetId="33">'AT-10 F Drinking Water'!$A$1:$O$26</definedName>
    <definedName name="_xlnm.Print_Area" localSheetId="27">AT10_MME!$A$1:$H$28</definedName>
    <definedName name="_xlnm.Print_Area" localSheetId="28">AT10A_!$A$1:$E$26</definedName>
    <definedName name="_xlnm.Print_Area" localSheetId="31">'AT-10D'!$A$1:$K$28</definedName>
    <definedName name="_xlnm.Print_Area" localSheetId="34">'AT11_KS Year wise'!$A$1:$K$26</definedName>
    <definedName name="_xlnm.Print_Area" localSheetId="35">'AT11A_KS-District wise'!$A$1:$K$27</definedName>
    <definedName name="_xlnm.Print_Area" localSheetId="36">'AT12_KD-New'!$A$1:$K$28</definedName>
    <definedName name="_xlnm.Print_Area" localSheetId="37">'AT12A_KD-Replacement'!$A$1:$K$28</definedName>
    <definedName name="_xlnm.Print_Area" localSheetId="39">'AT-14'!$A$1:$N$25</definedName>
    <definedName name="_xlnm.Print_Area" localSheetId="40">'AT-14 A'!$A$1:$H$24</definedName>
    <definedName name="_xlnm.Print_Area" localSheetId="41">'AT-15'!$A$1:$L$25</definedName>
    <definedName name="_xlnm.Print_Area" localSheetId="42">'AT-16'!$A$1:$I$24</definedName>
    <definedName name="_xlnm.Print_Area" localSheetId="44">'AT18_Details_Community '!$A$1:$F$26</definedName>
    <definedName name="_xlnm.Print_Area" localSheetId="3">'AT-1-Gen_Info'!$A$1:$T$47</definedName>
    <definedName name="_xlnm.Print_Area" localSheetId="51">'AT-24'!$A$1:$M$26</definedName>
    <definedName name="_xlnm.Print_Area" localSheetId="54">'AT26_NoWD (2)'!$A$1:$L$26</definedName>
    <definedName name="_xlnm.Print_Area" localSheetId="55">AT26A_NoWD!$A$1:$K$27</definedName>
    <definedName name="_xlnm.Print_Area" localSheetId="56">AT27_Req_FG_CA_Pry!$A$1:$R$27</definedName>
    <definedName name="_xlnm.Print_Area" localSheetId="57">AT27A_Req_FG_CA_UPry!$A$1:$R$27</definedName>
    <definedName name="_xlnm.Print_Area" localSheetId="58">AT27B_Req_FG_CA_NCLP.!$A$1:$N$27</definedName>
    <definedName name="_xlnm.Print_Area" localSheetId="59">'AT27C_Req_FG_Drought -Pry '!$A$1:$N$26</definedName>
    <definedName name="_xlnm.Print_Area" localSheetId="60">'AT27D_Req_FG_Drought -UPry '!$A$1:$N$26</definedName>
    <definedName name="_xlnm.Print_Area" localSheetId="61">'AT27F_RqFG-Drought-UPy-Remedial'!$A$1:$N$26</definedName>
    <definedName name="_xlnm.Print_Area" localSheetId="65">'AT-28A_RqmtPlinth Area'!$A$1:$S$27</definedName>
    <definedName name="_xlnm.Print_Area" localSheetId="63">'AT-28A_RqmtPlinthArea'!$A$1:$AE$27</definedName>
    <definedName name="_xlnm.Print_Area" localSheetId="64">'AT-28A_RqmtPlinthArea (2)'!$A$1:$AE$27</definedName>
    <definedName name="_xlnm.Print_Area" localSheetId="66">AT29_K_D!$A$1:$AF$26</definedName>
    <definedName name="_xlnm.Print_Area" localSheetId="4">'AT-2-S1 BUDGET'!$A$1:$V$36</definedName>
    <definedName name="_xlnm.Print_Area" localSheetId="6">'AT-3'!$A$1:$H$26</definedName>
    <definedName name="_xlnm.Print_Area" localSheetId="67">'AT-30_Coook-cum-Helper '!$A$1:$M$27</definedName>
    <definedName name="_xlnm.Print_Area" localSheetId="70">'AT32_Drought Pry Util'!$A$1:$L$27</definedName>
    <definedName name="_xlnm.Print_Area" localSheetId="71">'AT-32A Drought UPry Util'!$A$1:$L$27</definedName>
    <definedName name="_xlnm.Print_Area" localSheetId="7">'AT3A_cvrg(Insti)_PY'!$A$1:$N$28</definedName>
    <definedName name="_xlnm.Print_Area" localSheetId="8">'AT3B_cvrg(Insti)_UPY '!$A$1:$N$27</definedName>
    <definedName name="_xlnm.Print_Area" localSheetId="9">'AT3C_cvrg(Insti)_UPY '!$A$1:$N$27</definedName>
    <definedName name="_xlnm.Print_Area" localSheetId="12">'AT-4B'!$A$1:$G$25</definedName>
    <definedName name="_xlnm.Print_Area" localSheetId="24">'AT-8_Hon_CCH_Pry'!$A$1:$V$29</definedName>
    <definedName name="_xlnm.Print_Area" localSheetId="25">'AT-8A_Hon_CCH_UPry'!$A$1:$V$29</definedName>
    <definedName name="_xlnm.Print_Area" localSheetId="26">AT9_TA!$A$1:$I$28</definedName>
    <definedName name="_xlnm.Print_Area" localSheetId="1">Contents!$A$1:$C$65</definedName>
    <definedName name="_xlnm.Print_Area" localSheetId="10">'enrolment vs availed_PY'!$A$1:$Q$27</definedName>
    <definedName name="_xlnm.Print_Area" localSheetId="11">'enrolment vs availed_UPY'!$A$1:$R$27</definedName>
    <definedName name="_xlnm.Print_Area" localSheetId="38">'Mode of cooking'!$A$1:$G$26</definedName>
    <definedName name="_xlnm.Print_Area" localSheetId="2">Sheet1!$A$1:$J$17</definedName>
    <definedName name="_xlnm.Print_Area" localSheetId="53">'Sheet1 (2)'!$A$1:$J$24</definedName>
    <definedName name="_xlnm.Print_Area" localSheetId="13">'T5_PLAN_vs_PRFM (2)'!$A$1:$J$28</definedName>
    <definedName name="_xlnm.Print_Area" localSheetId="14">'T5A_PLAN_vs_PRFM  (3)'!$A$1:$J$28</definedName>
    <definedName name="_xlnm.Print_Area" localSheetId="15">'T5B_PLAN_vs_PRFM  (3)'!$A$1:$J$27</definedName>
    <definedName name="_xlnm.Print_Area" localSheetId="16">'T5C_Drought_PLAN_vs_PRFM  (2)'!$A$1:$J$27</definedName>
    <definedName name="_xlnm.Print_Area" localSheetId="17">'T5D_Drought_PLAN_vs_PRFM   (2)'!$A$1:$J$27</definedName>
    <definedName name="_xlnm.Print_Area" localSheetId="18">T6_FG_py_Utlsn!$A$1:$L$27</definedName>
    <definedName name="_xlnm.Print_Area" localSheetId="19">'T6A_FG_Upy_Utlsn '!$A$1:$L$28</definedName>
    <definedName name="_xlnm.Print_Area" localSheetId="20">T6B_Pay_FG_FCI_Pry!$A$1:$M$29</definedName>
    <definedName name="_xlnm.Print_Area" localSheetId="21">T6C_Coarse_Grain!$A$1:$L$27</definedName>
    <definedName name="_xlnm.Print_Area" localSheetId="22">T7_CC_PY_Utlsn!$A$1:$Q$30</definedName>
    <definedName name="_xlnm.Print_Area" localSheetId="23">'T7ACC_UPY_Utlsn '!$A$1:$Q$29</definedName>
  </definedNames>
  <calcPr calcId="145621"/>
</workbook>
</file>

<file path=xl/calcChain.xml><?xml version="1.0" encoding="utf-8"?>
<calcChain xmlns="http://schemas.openxmlformats.org/spreadsheetml/2006/main">
  <c r="W20" i="176" l="1"/>
  <c r="V20" i="176"/>
  <c r="U20" i="176"/>
  <c r="T20" i="176"/>
  <c r="S20" i="176"/>
  <c r="R20" i="176"/>
  <c r="Q20" i="176"/>
  <c r="P20" i="176"/>
  <c r="O20" i="176"/>
  <c r="N20" i="176"/>
  <c r="M20" i="176"/>
  <c r="L20" i="176"/>
  <c r="K20" i="176"/>
  <c r="J20" i="176"/>
  <c r="I20" i="176"/>
  <c r="H20" i="176"/>
  <c r="G20" i="176"/>
  <c r="F20" i="176"/>
  <c r="E20" i="176"/>
  <c r="D20" i="176"/>
  <c r="C20" i="176"/>
  <c r="M24" i="175"/>
  <c r="L24" i="175"/>
  <c r="J24" i="175"/>
  <c r="F24" i="175"/>
  <c r="I23" i="175"/>
  <c r="H23" i="175"/>
  <c r="G23" i="175"/>
  <c r="E23" i="175"/>
  <c r="K23" i="175" s="1"/>
  <c r="D23" i="175"/>
  <c r="C23" i="175"/>
  <c r="L22" i="175"/>
  <c r="I22" i="175"/>
  <c r="H22" i="175"/>
  <c r="G22" i="175"/>
  <c r="E22" i="175"/>
  <c r="K22" i="175" s="1"/>
  <c r="D22" i="175"/>
  <c r="C22" i="175"/>
  <c r="I21" i="175"/>
  <c r="H21" i="175"/>
  <c r="G21" i="175"/>
  <c r="E21" i="175"/>
  <c r="K21" i="175" s="1"/>
  <c r="D21" i="175"/>
  <c r="C21" i="175"/>
  <c r="I20" i="175"/>
  <c r="H20" i="175"/>
  <c r="G20" i="175"/>
  <c r="E20" i="175"/>
  <c r="K20" i="175" s="1"/>
  <c r="D20" i="175"/>
  <c r="C20" i="175"/>
  <c r="L19" i="175"/>
  <c r="I19" i="175"/>
  <c r="H19" i="175"/>
  <c r="G19" i="175"/>
  <c r="E19" i="175"/>
  <c r="K19" i="175" s="1"/>
  <c r="D19" i="175"/>
  <c r="C19" i="175"/>
  <c r="L18" i="175"/>
  <c r="I18" i="175"/>
  <c r="H18" i="175"/>
  <c r="G18" i="175"/>
  <c r="E18" i="175"/>
  <c r="K18" i="175" s="1"/>
  <c r="D18" i="175"/>
  <c r="C18" i="175"/>
  <c r="I17" i="175"/>
  <c r="H17" i="175"/>
  <c r="G17" i="175"/>
  <c r="E17" i="175"/>
  <c r="K17" i="175" s="1"/>
  <c r="D17" i="175"/>
  <c r="C17" i="175"/>
  <c r="I16" i="175"/>
  <c r="H16" i="175"/>
  <c r="G16" i="175"/>
  <c r="E16" i="175"/>
  <c r="K16" i="175" s="1"/>
  <c r="D16" i="175"/>
  <c r="C16" i="175"/>
  <c r="I15" i="175"/>
  <c r="H15" i="175"/>
  <c r="G15" i="175"/>
  <c r="E15" i="175"/>
  <c r="K15" i="175" s="1"/>
  <c r="D15" i="175"/>
  <c r="C15" i="175"/>
  <c r="I14" i="175"/>
  <c r="H14" i="175"/>
  <c r="G14" i="175"/>
  <c r="E14" i="175"/>
  <c r="K14" i="175" s="1"/>
  <c r="D14" i="175"/>
  <c r="C14" i="175"/>
  <c r="I13" i="175"/>
  <c r="H13" i="175"/>
  <c r="G13" i="175"/>
  <c r="E13" i="175"/>
  <c r="K13" i="175" s="1"/>
  <c r="D13" i="175"/>
  <c r="C13" i="175"/>
  <c r="L12" i="175"/>
  <c r="I12" i="175"/>
  <c r="H12" i="175"/>
  <c r="G12" i="175"/>
  <c r="E12" i="175"/>
  <c r="K12" i="175" s="1"/>
  <c r="D12" i="175"/>
  <c r="D24" i="175" s="1"/>
  <c r="C12" i="175"/>
  <c r="C24" i="175" s="1"/>
  <c r="I11" i="175"/>
  <c r="I24" i="175" s="1"/>
  <c r="H11" i="175"/>
  <c r="H24" i="175" s="1"/>
  <c r="G11" i="175"/>
  <c r="G24" i="175" s="1"/>
  <c r="E11" i="175"/>
  <c r="E24" i="175" s="1"/>
  <c r="K24" i="175" s="1"/>
  <c r="D11" i="175"/>
  <c r="C11" i="175"/>
  <c r="N24" i="174"/>
  <c r="M24" i="174"/>
  <c r="L24" i="174"/>
  <c r="K24" i="174"/>
  <c r="J24" i="174"/>
  <c r="H24" i="174"/>
  <c r="G24" i="174"/>
  <c r="C24" i="174"/>
  <c r="I23" i="174"/>
  <c r="E23" i="174"/>
  <c r="F23" i="174" s="1"/>
  <c r="I22" i="174"/>
  <c r="E22" i="174"/>
  <c r="F22" i="174" s="1"/>
  <c r="I21" i="174"/>
  <c r="F21" i="174"/>
  <c r="E21" i="174"/>
  <c r="I20" i="174"/>
  <c r="E20" i="174"/>
  <c r="F20" i="174" s="1"/>
  <c r="I19" i="174"/>
  <c r="E19" i="174"/>
  <c r="F19" i="174" s="1"/>
  <c r="I18" i="174"/>
  <c r="E18" i="174"/>
  <c r="F18" i="174" s="1"/>
  <c r="I17" i="174"/>
  <c r="F17" i="174"/>
  <c r="E17" i="174"/>
  <c r="I16" i="174"/>
  <c r="E16" i="174"/>
  <c r="F16" i="174" s="1"/>
  <c r="I15" i="174"/>
  <c r="E15" i="174"/>
  <c r="F15" i="174" s="1"/>
  <c r="I14" i="174"/>
  <c r="E14" i="174"/>
  <c r="F14" i="174" s="1"/>
  <c r="I13" i="174"/>
  <c r="F13" i="174"/>
  <c r="E13" i="174"/>
  <c r="I12" i="174"/>
  <c r="E12" i="174"/>
  <c r="F12" i="174" s="1"/>
  <c r="I11" i="174"/>
  <c r="E11" i="174"/>
  <c r="F11" i="174" s="1"/>
  <c r="I24" i="174" l="1"/>
  <c r="K11" i="175"/>
  <c r="F24" i="174"/>
  <c r="E24" i="174"/>
  <c r="AD33" i="173" l="1"/>
  <c r="AD32" i="173"/>
  <c r="E25" i="173" s="1"/>
  <c r="K25" i="173" s="1"/>
  <c r="L25" i="173"/>
  <c r="AC32" i="173"/>
  <c r="C22" i="173" s="1"/>
  <c r="N23" i="173"/>
  <c r="L23" i="173"/>
  <c r="C23" i="173"/>
  <c r="N25" i="173"/>
  <c r="T25" i="173" s="1"/>
  <c r="D25" i="173"/>
  <c r="J25" i="173" s="1"/>
  <c r="AC33" i="173"/>
  <c r="AE36" i="173"/>
  <c r="Q23" i="173" s="1"/>
  <c r="AE35" i="173"/>
  <c r="F23" i="173" s="1"/>
  <c r="AB36" i="173"/>
  <c r="M23" i="173" s="1"/>
  <c r="AB35" i="173"/>
  <c r="E23" i="173" s="1"/>
  <c r="N22" i="173"/>
  <c r="T22" i="173" s="1"/>
  <c r="L22" i="173"/>
  <c r="R22" i="173" s="1"/>
  <c r="I23" i="173" l="1"/>
  <c r="E22" i="173"/>
  <c r="K22" i="173" s="1"/>
  <c r="W22" i="173" s="1"/>
  <c r="C25" i="173"/>
  <c r="I25" i="173" s="1"/>
  <c r="I22" i="173"/>
  <c r="K23" i="173"/>
  <c r="T23" i="173"/>
  <c r="G23" i="173"/>
  <c r="O23" i="173"/>
  <c r="W25" i="173"/>
  <c r="D23" i="173"/>
  <c r="H23" i="173"/>
  <c r="P23" i="173"/>
  <c r="D22" i="173"/>
  <c r="J22" i="173" s="1"/>
  <c r="R25" i="173"/>
  <c r="M25" i="173"/>
  <c r="M22" i="173"/>
  <c r="S22" i="173"/>
  <c r="W23" i="173" l="1"/>
  <c r="J23" i="173"/>
  <c r="U22" i="173"/>
  <c r="R23" i="173"/>
  <c r="U23" i="173" s="1"/>
  <c r="S23" i="173"/>
  <c r="S25" i="173"/>
  <c r="V25" i="173" s="1"/>
  <c r="U25" i="173"/>
  <c r="V22" i="173"/>
  <c r="V23" i="173" l="1"/>
  <c r="I23" i="165"/>
  <c r="I22" i="165"/>
  <c r="I21" i="165"/>
  <c r="I20" i="165"/>
  <c r="I19" i="165"/>
  <c r="I18" i="165"/>
  <c r="I17" i="165"/>
  <c r="I16" i="165"/>
  <c r="I15" i="165"/>
  <c r="I14" i="165"/>
  <c r="I13" i="165"/>
  <c r="I12" i="165"/>
  <c r="I11" i="165"/>
  <c r="I23" i="166"/>
  <c r="I22" i="166"/>
  <c r="I21" i="166"/>
  <c r="I20" i="166"/>
  <c r="I19" i="166"/>
  <c r="I18" i="166"/>
  <c r="I17" i="166"/>
  <c r="I16" i="166"/>
  <c r="I15" i="166"/>
  <c r="I14" i="166"/>
  <c r="I13" i="166"/>
  <c r="I12" i="166"/>
  <c r="I11" i="166"/>
  <c r="I23" i="164"/>
  <c r="I22" i="164"/>
  <c r="I21" i="164"/>
  <c r="I20" i="164"/>
  <c r="I19" i="164"/>
  <c r="I18" i="164"/>
  <c r="I17" i="164"/>
  <c r="I16" i="164"/>
  <c r="I15" i="164"/>
  <c r="I14" i="164"/>
  <c r="I13" i="164"/>
  <c r="I12" i="164"/>
  <c r="I11" i="164"/>
  <c r="F16" i="124"/>
  <c r="E14" i="124"/>
  <c r="L26" i="155"/>
  <c r="K26" i="155"/>
  <c r="I26" i="155"/>
  <c r="H26" i="155"/>
  <c r="L26" i="154"/>
  <c r="K26" i="154"/>
  <c r="I26" i="154"/>
  <c r="H26" i="154"/>
  <c r="F26" i="154"/>
  <c r="E26" i="154"/>
  <c r="J26" i="153"/>
  <c r="I26" i="153"/>
  <c r="G26" i="153"/>
  <c r="F26" i="153"/>
  <c r="I27" i="152"/>
  <c r="G27" i="152"/>
  <c r="F27" i="152"/>
  <c r="G25" i="150"/>
  <c r="G24" i="150"/>
  <c r="G23" i="150"/>
  <c r="G22" i="150"/>
  <c r="G21" i="150"/>
  <c r="G20" i="150"/>
  <c r="G19" i="150"/>
  <c r="G18" i="150"/>
  <c r="G17" i="150"/>
  <c r="G16" i="150"/>
  <c r="G15" i="150"/>
  <c r="G14" i="150"/>
  <c r="G13" i="150"/>
  <c r="S17" i="96"/>
  <c r="J14" i="152"/>
  <c r="J27" i="152" s="1"/>
  <c r="H25" i="149"/>
  <c r="C16" i="161"/>
  <c r="J13" i="147"/>
  <c r="H18" i="150" l="1"/>
  <c r="G20" i="84" l="1"/>
  <c r="K20" i="84"/>
  <c r="X15" i="173"/>
  <c r="Z15" i="173" s="1"/>
  <c r="AB40" i="173"/>
  <c r="AA40" i="173"/>
  <c r="AA41" i="173" s="1"/>
  <c r="AC38" i="173"/>
  <c r="Q31" i="173"/>
  <c r="P31" i="173"/>
  <c r="O31" i="173"/>
  <c r="N31" i="173"/>
  <c r="M31" i="173"/>
  <c r="L31" i="173"/>
  <c r="H31" i="173"/>
  <c r="G31" i="173"/>
  <c r="F31" i="173"/>
  <c r="E31" i="173"/>
  <c r="D31" i="173"/>
  <c r="C31" i="173"/>
  <c r="T30" i="173"/>
  <c r="S30" i="173"/>
  <c r="R30" i="173"/>
  <c r="K30" i="173"/>
  <c r="J30" i="173"/>
  <c r="I30" i="173"/>
  <c r="T29" i="173"/>
  <c r="T31" i="173" s="1"/>
  <c r="S29" i="173"/>
  <c r="R29" i="173"/>
  <c r="K29" i="173"/>
  <c r="K31" i="173" s="1"/>
  <c r="J29" i="173"/>
  <c r="I29" i="173"/>
  <c r="AD23" i="173"/>
  <c r="AM15" i="173"/>
  <c r="AP15" i="173" s="1"/>
  <c r="AJ15" i="173"/>
  <c r="AI15" i="173"/>
  <c r="AG15" i="173"/>
  <c r="AF15" i="173"/>
  <c r="AE15" i="173"/>
  <c r="AH15" i="173" s="1"/>
  <c r="AC15" i="173"/>
  <c r="AB15" i="173"/>
  <c r="AS13" i="173"/>
  <c r="AS15" i="173" s="1"/>
  <c r="AG10" i="173"/>
  <c r="AF10" i="173"/>
  <c r="AN15" i="173" l="1"/>
  <c r="M15" i="173" s="1"/>
  <c r="R31" i="173"/>
  <c r="V30" i="173"/>
  <c r="I31" i="173"/>
  <c r="V29" i="173"/>
  <c r="V31" i="173"/>
  <c r="E17" i="173"/>
  <c r="D17" i="173"/>
  <c r="J17" i="173" s="1"/>
  <c r="C17" i="173"/>
  <c r="H17" i="173"/>
  <c r="G17" i="173"/>
  <c r="F17" i="173"/>
  <c r="L17" i="173"/>
  <c r="N17" i="173"/>
  <c r="M17" i="173"/>
  <c r="AO15" i="173"/>
  <c r="N16" i="173" s="1"/>
  <c r="J31" i="173"/>
  <c r="W30" i="173"/>
  <c r="AJ5" i="173"/>
  <c r="P17" i="173"/>
  <c r="S17" i="173" s="1"/>
  <c r="O17" i="173"/>
  <c r="Q17" i="173"/>
  <c r="W29" i="173"/>
  <c r="U30" i="173"/>
  <c r="N15" i="173"/>
  <c r="L15" i="173"/>
  <c r="C16" i="173"/>
  <c r="E16" i="173"/>
  <c r="D16" i="173"/>
  <c r="P16" i="173"/>
  <c r="O16" i="173"/>
  <c r="Q16" i="173"/>
  <c r="M16" i="173"/>
  <c r="D24" i="173"/>
  <c r="C24" i="173"/>
  <c r="E24" i="173"/>
  <c r="AA42" i="173"/>
  <c r="AB41" i="173"/>
  <c r="AD13" i="173"/>
  <c r="AD15" i="173" s="1"/>
  <c r="Y15" i="173"/>
  <c r="U29" i="173"/>
  <c r="U31" i="173" s="1"/>
  <c r="S31" i="173"/>
  <c r="AA15" i="173"/>
  <c r="AK13" i="173"/>
  <c r="AK15" i="173" s="1"/>
  <c r="Q20" i="173" l="1"/>
  <c r="O20" i="173"/>
  <c r="V17" i="173"/>
  <c r="W31" i="173"/>
  <c r="K17" i="173"/>
  <c r="L16" i="173"/>
  <c r="R16" i="173" s="1"/>
  <c r="R17" i="173"/>
  <c r="I17" i="173"/>
  <c r="E26" i="173"/>
  <c r="K26" i="173" s="1"/>
  <c r="C26" i="173"/>
  <c r="I26" i="173" s="1"/>
  <c r="D26" i="173"/>
  <c r="J26" i="173" s="1"/>
  <c r="D27" i="173"/>
  <c r="T17" i="173"/>
  <c r="W17" i="173" s="1"/>
  <c r="D18" i="173"/>
  <c r="J18" i="173" s="1"/>
  <c r="E18" i="173"/>
  <c r="K18" i="173" s="1"/>
  <c r="C18" i="173"/>
  <c r="I18" i="173" s="1"/>
  <c r="S16" i="173"/>
  <c r="P20" i="173"/>
  <c r="S15" i="173"/>
  <c r="T16" i="173"/>
  <c r="N19" i="173"/>
  <c r="T19" i="173" s="1"/>
  <c r="T15" i="173"/>
  <c r="R15" i="173"/>
  <c r="G16" i="173"/>
  <c r="G20" i="173" s="1"/>
  <c r="H16" i="173"/>
  <c r="F16" i="173"/>
  <c r="F20" i="173" s="1"/>
  <c r="M18" i="173"/>
  <c r="S18" i="173" s="1"/>
  <c r="N18" i="173"/>
  <c r="T18" i="173" s="1"/>
  <c r="L18" i="173"/>
  <c r="R18" i="173" s="1"/>
  <c r="D15" i="173"/>
  <c r="C15" i="173"/>
  <c r="E15" i="173"/>
  <c r="J16" i="173"/>
  <c r="V16" i="173" s="1"/>
  <c r="I16" i="173"/>
  <c r="L24" i="173"/>
  <c r="M24" i="173"/>
  <c r="N24" i="173"/>
  <c r="N26" i="173" s="1"/>
  <c r="T26" i="173" s="1"/>
  <c r="W26" i="173" s="1"/>
  <c r="F24" i="173"/>
  <c r="F27" i="173" s="1"/>
  <c r="G24" i="173"/>
  <c r="G27" i="173" s="1"/>
  <c r="H24" i="173"/>
  <c r="H27" i="173" s="1"/>
  <c r="AB42" i="173"/>
  <c r="E24" i="148"/>
  <c r="E27" i="173" l="1"/>
  <c r="U16" i="173"/>
  <c r="C27" i="173"/>
  <c r="M26" i="173"/>
  <c r="S26" i="173" s="1"/>
  <c r="V26" i="173" s="1"/>
  <c r="I24" i="173"/>
  <c r="U17" i="173"/>
  <c r="N27" i="173"/>
  <c r="L26" i="173"/>
  <c r="R26" i="173" s="1"/>
  <c r="U26" i="173" s="1"/>
  <c r="W18" i="173"/>
  <c r="K16" i="173"/>
  <c r="W16" i="173" s="1"/>
  <c r="H20" i="173"/>
  <c r="J15" i="173"/>
  <c r="D19" i="173"/>
  <c r="J19" i="173" s="1"/>
  <c r="V18" i="173"/>
  <c r="L19" i="173"/>
  <c r="R19" i="173" s="1"/>
  <c r="R20" i="173" s="1"/>
  <c r="I15" i="173"/>
  <c r="C19" i="173"/>
  <c r="I19" i="173" s="1"/>
  <c r="T20" i="173"/>
  <c r="K15" i="173"/>
  <c r="W15" i="173" s="1"/>
  <c r="E19" i="173"/>
  <c r="K19" i="173" s="1"/>
  <c r="W19" i="173" s="1"/>
  <c r="M19" i="173"/>
  <c r="S19" i="173" s="1"/>
  <c r="S20" i="173" s="1"/>
  <c r="U18" i="173"/>
  <c r="N20" i="173"/>
  <c r="J24" i="173"/>
  <c r="G32" i="173"/>
  <c r="K24" i="173"/>
  <c r="K27" i="173" s="1"/>
  <c r="H32" i="173"/>
  <c r="F32" i="173"/>
  <c r="P24" i="173"/>
  <c r="P27" i="173" s="1"/>
  <c r="Q24" i="173"/>
  <c r="Q27" i="173" s="1"/>
  <c r="O24" i="173"/>
  <c r="O27" i="173" s="1"/>
  <c r="J27" i="173"/>
  <c r="I22" i="108"/>
  <c r="H22" i="108"/>
  <c r="F22" i="108"/>
  <c r="E22" i="108"/>
  <c r="H13" i="108"/>
  <c r="J13" i="108"/>
  <c r="J21" i="105"/>
  <c r="J20" i="105"/>
  <c r="J19" i="105"/>
  <c r="J18" i="105"/>
  <c r="J17" i="105"/>
  <c r="J16" i="105"/>
  <c r="J15" i="105"/>
  <c r="J14" i="105"/>
  <c r="J12" i="105"/>
  <c r="J11" i="105"/>
  <c r="J10" i="105"/>
  <c r="J9" i="105"/>
  <c r="J13" i="105"/>
  <c r="I21" i="105"/>
  <c r="I20" i="105"/>
  <c r="I19" i="105"/>
  <c r="I18" i="105"/>
  <c r="I17" i="105"/>
  <c r="I16" i="105"/>
  <c r="I15" i="105"/>
  <c r="I14" i="105"/>
  <c r="I12" i="105"/>
  <c r="I11" i="105"/>
  <c r="I10" i="105"/>
  <c r="I9" i="105"/>
  <c r="I13" i="105"/>
  <c r="H21" i="105"/>
  <c r="H20" i="105"/>
  <c r="H19" i="105"/>
  <c r="H18" i="105"/>
  <c r="H17" i="105"/>
  <c r="H16" i="105"/>
  <c r="H15" i="105"/>
  <c r="H14" i="105"/>
  <c r="H13" i="105"/>
  <c r="H12" i="105"/>
  <c r="H11" i="105"/>
  <c r="H10" i="105"/>
  <c r="I33" i="148"/>
  <c r="N13" i="154"/>
  <c r="D13" i="142"/>
  <c r="D20" i="155"/>
  <c r="D22" i="155"/>
  <c r="D25" i="155"/>
  <c r="D14" i="155"/>
  <c r="D21" i="155"/>
  <c r="D23" i="155"/>
  <c r="D16" i="155"/>
  <c r="D15" i="155"/>
  <c r="D17" i="155"/>
  <c r="M27" i="173" l="1"/>
  <c r="N32" i="173"/>
  <c r="L20" i="173"/>
  <c r="L27" i="173"/>
  <c r="M20" i="173"/>
  <c r="R24" i="173"/>
  <c r="R27" i="173" s="1"/>
  <c r="I27" i="173"/>
  <c r="V19" i="173"/>
  <c r="D20" i="173"/>
  <c r="D32" i="173" s="1"/>
  <c r="C20" i="173"/>
  <c r="C32" i="173" s="1"/>
  <c r="E20" i="173"/>
  <c r="E32" i="173" s="1"/>
  <c r="W20" i="173"/>
  <c r="U15" i="173"/>
  <c r="I20" i="173"/>
  <c r="I32" i="173" s="1"/>
  <c r="V15" i="173"/>
  <c r="J20" i="173"/>
  <c r="J32" i="173" s="1"/>
  <c r="K20" i="173"/>
  <c r="K32" i="173" s="1"/>
  <c r="U19" i="173"/>
  <c r="O32" i="173"/>
  <c r="P32" i="173"/>
  <c r="S24" i="173"/>
  <c r="Q32" i="173"/>
  <c r="T24" i="173"/>
  <c r="F12" i="161"/>
  <c r="L23" i="47"/>
  <c r="L21" i="47"/>
  <c r="L18" i="47"/>
  <c r="L17" i="47"/>
  <c r="L15" i="47"/>
  <c r="L14" i="47"/>
  <c r="L13" i="47"/>
  <c r="L12" i="47"/>
  <c r="L11" i="47"/>
  <c r="N11" i="47"/>
  <c r="M11" i="47"/>
  <c r="H22" i="47"/>
  <c r="M22" i="47" s="1"/>
  <c r="H20" i="47"/>
  <c r="M20" i="47" s="1"/>
  <c r="H19" i="47"/>
  <c r="M19" i="47" s="1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O11" i="47"/>
  <c r="N23" i="47"/>
  <c r="M23" i="47"/>
  <c r="N22" i="47"/>
  <c r="N21" i="47"/>
  <c r="M21" i="47"/>
  <c r="Q21" i="47" s="1"/>
  <c r="N20" i="47"/>
  <c r="N19" i="47"/>
  <c r="N18" i="47"/>
  <c r="M18" i="47"/>
  <c r="Q18" i="47" s="1"/>
  <c r="N17" i="47"/>
  <c r="M17" i="47"/>
  <c r="N16" i="47"/>
  <c r="M16" i="47"/>
  <c r="N15" i="47"/>
  <c r="M15" i="47"/>
  <c r="Q15" i="47" s="1"/>
  <c r="N14" i="47"/>
  <c r="M14" i="47"/>
  <c r="Q14" i="47" s="1"/>
  <c r="N13" i="47"/>
  <c r="M13" i="47"/>
  <c r="N12" i="47"/>
  <c r="M12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H16" i="47"/>
  <c r="L16" i="47" s="1"/>
  <c r="L23" i="60"/>
  <c r="L22" i="60"/>
  <c r="L21" i="60"/>
  <c r="L20" i="60"/>
  <c r="L19" i="60"/>
  <c r="L18" i="60"/>
  <c r="L17" i="60"/>
  <c r="L16" i="60"/>
  <c r="L15" i="60"/>
  <c r="L14" i="60"/>
  <c r="L13" i="60"/>
  <c r="L12" i="60"/>
  <c r="L11" i="60"/>
  <c r="O23" i="60"/>
  <c r="O22" i="60"/>
  <c r="O21" i="60"/>
  <c r="O20" i="60"/>
  <c r="O19" i="60"/>
  <c r="O18" i="60"/>
  <c r="O17" i="60"/>
  <c r="O16" i="60"/>
  <c r="O15" i="60"/>
  <c r="O14" i="60"/>
  <c r="O13" i="60"/>
  <c r="O12" i="60"/>
  <c r="O11" i="60"/>
  <c r="G15" i="14"/>
  <c r="F56" i="172"/>
  <c r="H62" i="172"/>
  <c r="G62" i="172"/>
  <c r="F62" i="172"/>
  <c r="E62" i="172"/>
  <c r="D62" i="172"/>
  <c r="C62" i="172"/>
  <c r="H61" i="172"/>
  <c r="G61" i="172"/>
  <c r="F61" i="172"/>
  <c r="E61" i="172"/>
  <c r="L61" i="172" s="1"/>
  <c r="D61" i="172"/>
  <c r="C61" i="172"/>
  <c r="H60" i="172"/>
  <c r="G60" i="172"/>
  <c r="F60" i="172"/>
  <c r="E60" i="172"/>
  <c r="L60" i="172" s="1"/>
  <c r="D60" i="172"/>
  <c r="C60" i="172"/>
  <c r="H59" i="172"/>
  <c r="G59" i="172"/>
  <c r="F59" i="172"/>
  <c r="E59" i="172"/>
  <c r="D59" i="172"/>
  <c r="C59" i="172"/>
  <c r="H58" i="172"/>
  <c r="G58" i="172"/>
  <c r="F58" i="172"/>
  <c r="E58" i="172"/>
  <c r="D58" i="172"/>
  <c r="C58" i="172"/>
  <c r="H57" i="172"/>
  <c r="G57" i="172"/>
  <c r="F57" i="172"/>
  <c r="E57" i="172"/>
  <c r="D57" i="172"/>
  <c r="C57" i="172"/>
  <c r="H56" i="172"/>
  <c r="G56" i="172"/>
  <c r="E56" i="172"/>
  <c r="L56" i="172" s="1"/>
  <c r="D56" i="172"/>
  <c r="C56" i="172"/>
  <c r="H55" i="172"/>
  <c r="G55" i="172"/>
  <c r="F55" i="172"/>
  <c r="E55" i="172"/>
  <c r="D55" i="172"/>
  <c r="C55" i="172"/>
  <c r="G54" i="172"/>
  <c r="F54" i="172"/>
  <c r="E54" i="172"/>
  <c r="D54" i="172"/>
  <c r="C54" i="172"/>
  <c r="H53" i="172"/>
  <c r="G53" i="172"/>
  <c r="F53" i="172"/>
  <c r="E53" i="172"/>
  <c r="L53" i="172" s="1"/>
  <c r="D53" i="172"/>
  <c r="C53" i="172"/>
  <c r="H52" i="172"/>
  <c r="G52" i="172"/>
  <c r="F52" i="172"/>
  <c r="E52" i="172"/>
  <c r="D52" i="172"/>
  <c r="C52" i="172"/>
  <c r="H51" i="172"/>
  <c r="G51" i="172"/>
  <c r="F51" i="172"/>
  <c r="E51" i="172"/>
  <c r="L51" i="172" s="1"/>
  <c r="D51" i="172"/>
  <c r="C51" i="172"/>
  <c r="H50" i="172"/>
  <c r="G50" i="172"/>
  <c r="F50" i="172"/>
  <c r="E50" i="172"/>
  <c r="D50" i="172"/>
  <c r="C50" i="172"/>
  <c r="G48" i="172"/>
  <c r="F48" i="172"/>
  <c r="E48" i="172"/>
  <c r="D48" i="172"/>
  <c r="C48" i="172"/>
  <c r="J47" i="172"/>
  <c r="J62" i="172" s="1"/>
  <c r="I47" i="172"/>
  <c r="I62" i="172" s="1"/>
  <c r="J46" i="172"/>
  <c r="J61" i="172" s="1"/>
  <c r="I46" i="172"/>
  <c r="I61" i="172" s="1"/>
  <c r="J45" i="172"/>
  <c r="J60" i="172" s="1"/>
  <c r="I45" i="172"/>
  <c r="I60" i="172" s="1"/>
  <c r="J44" i="172"/>
  <c r="J59" i="172" s="1"/>
  <c r="I44" i="172"/>
  <c r="I59" i="172" s="1"/>
  <c r="J43" i="172"/>
  <c r="J58" i="172" s="1"/>
  <c r="I43" i="172"/>
  <c r="I58" i="172" s="1"/>
  <c r="J42" i="172"/>
  <c r="J57" i="172" s="1"/>
  <c r="I42" i="172"/>
  <c r="I57" i="172" s="1"/>
  <c r="J41" i="172"/>
  <c r="J56" i="172" s="1"/>
  <c r="I41" i="172"/>
  <c r="I56" i="172" s="1"/>
  <c r="J40" i="172"/>
  <c r="J55" i="172" s="1"/>
  <c r="I40" i="172"/>
  <c r="I55" i="172" s="1"/>
  <c r="I39" i="172"/>
  <c r="H39" i="172"/>
  <c r="J39" i="172" s="1"/>
  <c r="J54" i="172" s="1"/>
  <c r="J38" i="172"/>
  <c r="J53" i="172" s="1"/>
  <c r="I38" i="172"/>
  <c r="I53" i="172" s="1"/>
  <c r="J37" i="172"/>
  <c r="J52" i="172" s="1"/>
  <c r="I37" i="172"/>
  <c r="I52" i="172" s="1"/>
  <c r="J36" i="172"/>
  <c r="J51" i="172" s="1"/>
  <c r="I36" i="172"/>
  <c r="I51" i="172" s="1"/>
  <c r="J35" i="172"/>
  <c r="J50" i="172" s="1"/>
  <c r="I35" i="172"/>
  <c r="I50" i="172" s="1"/>
  <c r="I25" i="172"/>
  <c r="Q11" i="47" l="1"/>
  <c r="Q12" i="47"/>
  <c r="Q16" i="47"/>
  <c r="M32" i="173"/>
  <c r="F63" i="172"/>
  <c r="C63" i="172"/>
  <c r="G63" i="172"/>
  <c r="L52" i="172"/>
  <c r="L54" i="172"/>
  <c r="L62" i="172"/>
  <c r="Q13" i="47"/>
  <c r="Q17" i="47"/>
  <c r="Q20" i="47"/>
  <c r="Q22" i="47"/>
  <c r="V20" i="173"/>
  <c r="V32" i="173" s="1"/>
  <c r="L32" i="173"/>
  <c r="L55" i="172"/>
  <c r="L59" i="172"/>
  <c r="Q23" i="47"/>
  <c r="U24" i="173"/>
  <c r="U27" i="173" s="1"/>
  <c r="I48" i="172"/>
  <c r="E63" i="172"/>
  <c r="L57" i="172"/>
  <c r="L58" i="172"/>
  <c r="L20" i="47"/>
  <c r="W24" i="173"/>
  <c r="W27" i="173" s="1"/>
  <c r="T27" i="173"/>
  <c r="L22" i="47"/>
  <c r="V24" i="173"/>
  <c r="V27" i="173" s="1"/>
  <c r="S27" i="173"/>
  <c r="S32" i="173" s="1"/>
  <c r="D63" i="172"/>
  <c r="Q19" i="47"/>
  <c r="L19" i="47"/>
  <c r="U20" i="173"/>
  <c r="T32" i="173"/>
  <c r="W32" i="173"/>
  <c r="R32" i="173"/>
  <c r="J63" i="172"/>
  <c r="I54" i="172"/>
  <c r="I63" i="172" s="1"/>
  <c r="H48" i="172"/>
  <c r="H54" i="172"/>
  <c r="H63" i="172" s="1"/>
  <c r="L50" i="172"/>
  <c r="J48" i="172"/>
  <c r="J12" i="172"/>
  <c r="J24" i="172"/>
  <c r="J23" i="172"/>
  <c r="J22" i="172"/>
  <c r="J21" i="172"/>
  <c r="J20" i="172"/>
  <c r="J19" i="172"/>
  <c r="J18" i="172"/>
  <c r="J17" i="172"/>
  <c r="J16" i="172"/>
  <c r="J15" i="172"/>
  <c r="J14" i="172"/>
  <c r="J13" i="172"/>
  <c r="Q24" i="47" l="1"/>
  <c r="U32" i="173"/>
  <c r="G24" i="14"/>
  <c r="G20" i="14"/>
  <c r="G18" i="14"/>
  <c r="K13" i="150"/>
  <c r="J13" i="150"/>
  <c r="P23" i="101" l="1"/>
  <c r="O23" i="101"/>
  <c r="N23" i="101"/>
  <c r="M23" i="101"/>
  <c r="L23" i="101"/>
  <c r="K23" i="101"/>
  <c r="J23" i="101"/>
  <c r="I23" i="101"/>
  <c r="H23" i="101"/>
  <c r="G23" i="101"/>
  <c r="F23" i="101"/>
  <c r="E23" i="101"/>
  <c r="D23" i="101"/>
  <c r="C23" i="101"/>
  <c r="C24" i="14"/>
  <c r="C16" i="14"/>
  <c r="E16" i="14"/>
  <c r="G19" i="14"/>
  <c r="H24" i="172"/>
  <c r="H23" i="172"/>
  <c r="H22" i="172"/>
  <c r="H21" i="172"/>
  <c r="H20" i="172"/>
  <c r="H19" i="172"/>
  <c r="H18" i="172"/>
  <c r="H17" i="172"/>
  <c r="H16" i="172"/>
  <c r="H15" i="172"/>
  <c r="H14" i="172"/>
  <c r="H13" i="172"/>
  <c r="H12" i="172"/>
  <c r="F19" i="115" l="1"/>
  <c r="H25" i="172"/>
  <c r="E25" i="172"/>
  <c r="G25" i="172"/>
  <c r="D25" i="172"/>
  <c r="C25" i="172"/>
  <c r="G19" i="115" l="1"/>
  <c r="F25" i="172"/>
  <c r="J25" i="172"/>
  <c r="H19" i="115" l="1"/>
  <c r="I19" i="115"/>
  <c r="G20" i="162" l="1"/>
  <c r="G19" i="162"/>
  <c r="G18" i="162"/>
  <c r="G17" i="162"/>
  <c r="G16" i="162"/>
  <c r="G15" i="162"/>
  <c r="G14" i="162"/>
  <c r="G13" i="162"/>
  <c r="G12" i="162"/>
  <c r="G11" i="162"/>
  <c r="G10" i="162"/>
  <c r="G9" i="162"/>
  <c r="G8" i="162"/>
  <c r="J24" i="170" l="1"/>
  <c r="E24" i="170"/>
  <c r="D24" i="170"/>
  <c r="M23" i="139" l="1"/>
  <c r="L23" i="139"/>
  <c r="K23" i="139"/>
  <c r="J23" i="139"/>
  <c r="I23" i="139"/>
  <c r="H23" i="139"/>
  <c r="G23" i="139"/>
  <c r="F23" i="139"/>
  <c r="E23" i="139"/>
  <c r="D23" i="139"/>
  <c r="C23" i="139"/>
  <c r="J22" i="105"/>
  <c r="I22" i="105"/>
  <c r="G22" i="105"/>
  <c r="F22" i="105"/>
  <c r="H9" i="105"/>
  <c r="E10" i="105"/>
  <c r="E11" i="105"/>
  <c r="E12" i="105"/>
  <c r="E13" i="105"/>
  <c r="E14" i="105"/>
  <c r="E15" i="105"/>
  <c r="E16" i="105"/>
  <c r="E17" i="105"/>
  <c r="E18" i="105"/>
  <c r="E19" i="105"/>
  <c r="E20" i="105"/>
  <c r="E21" i="105"/>
  <c r="E9" i="105"/>
  <c r="C10" i="105"/>
  <c r="C11" i="105"/>
  <c r="C12" i="105"/>
  <c r="C13" i="105"/>
  <c r="C14" i="105"/>
  <c r="C15" i="105"/>
  <c r="C16" i="105"/>
  <c r="C17" i="105"/>
  <c r="C18" i="105"/>
  <c r="C19" i="105"/>
  <c r="C20" i="105"/>
  <c r="C21" i="105"/>
  <c r="C9" i="105"/>
  <c r="D10" i="105"/>
  <c r="D11" i="105"/>
  <c r="D12" i="105"/>
  <c r="D13" i="105"/>
  <c r="D14" i="105"/>
  <c r="D15" i="105"/>
  <c r="D16" i="105"/>
  <c r="D17" i="105"/>
  <c r="D18" i="105"/>
  <c r="D19" i="105"/>
  <c r="D20" i="105"/>
  <c r="D21" i="105"/>
  <c r="D9" i="105"/>
  <c r="G22" i="84"/>
  <c r="H22" i="105" l="1"/>
  <c r="E22" i="105"/>
  <c r="D22" i="105"/>
  <c r="I10" i="84"/>
  <c r="I11" i="84"/>
  <c r="I12" i="84"/>
  <c r="I13" i="84"/>
  <c r="I14" i="84"/>
  <c r="I15" i="84"/>
  <c r="I16" i="84"/>
  <c r="I17" i="84"/>
  <c r="I18" i="84"/>
  <c r="I19" i="84"/>
  <c r="I20" i="84"/>
  <c r="I21" i="84"/>
  <c r="I9" i="84"/>
  <c r="G12" i="156"/>
  <c r="O25" i="155"/>
  <c r="N25" i="155"/>
  <c r="O24" i="155"/>
  <c r="N24" i="155"/>
  <c r="O23" i="155"/>
  <c r="N23" i="155"/>
  <c r="O22" i="155"/>
  <c r="N22" i="155"/>
  <c r="O21" i="155"/>
  <c r="N21" i="155"/>
  <c r="O20" i="155"/>
  <c r="N20" i="155"/>
  <c r="O19" i="155"/>
  <c r="N19" i="155"/>
  <c r="O17" i="155"/>
  <c r="N17" i="155"/>
  <c r="O16" i="155"/>
  <c r="N16" i="155"/>
  <c r="O15" i="155"/>
  <c r="N15" i="155"/>
  <c r="O14" i="155"/>
  <c r="N14" i="155"/>
  <c r="O13" i="155"/>
  <c r="N13" i="155"/>
  <c r="O25" i="154"/>
  <c r="N25" i="154"/>
  <c r="O24" i="154"/>
  <c r="N24" i="154"/>
  <c r="O23" i="154"/>
  <c r="N23" i="154"/>
  <c r="O22" i="154"/>
  <c r="N22" i="154"/>
  <c r="O21" i="154"/>
  <c r="N21" i="154"/>
  <c r="O20" i="154"/>
  <c r="N20" i="154"/>
  <c r="O19" i="154"/>
  <c r="N19" i="154"/>
  <c r="O17" i="154"/>
  <c r="N17" i="154"/>
  <c r="O16" i="154"/>
  <c r="N16" i="154"/>
  <c r="O15" i="154"/>
  <c r="N15" i="154"/>
  <c r="O14" i="154"/>
  <c r="N14" i="154"/>
  <c r="O13" i="154"/>
  <c r="P15" i="152"/>
  <c r="P16" i="152"/>
  <c r="P17" i="152"/>
  <c r="P18" i="152"/>
  <c r="P19" i="152"/>
  <c r="P20" i="152"/>
  <c r="P21" i="152"/>
  <c r="P22" i="152"/>
  <c r="P23" i="152"/>
  <c r="P24" i="152"/>
  <c r="P25" i="152"/>
  <c r="P26" i="152"/>
  <c r="O25" i="152"/>
  <c r="O24" i="152"/>
  <c r="O23" i="152"/>
  <c r="O22" i="152"/>
  <c r="O20" i="152"/>
  <c r="O19" i="152"/>
  <c r="O17" i="152"/>
  <c r="O16" i="152"/>
  <c r="O15" i="152"/>
  <c r="K25" i="150"/>
  <c r="K24" i="150"/>
  <c r="K23" i="150"/>
  <c r="K22" i="150"/>
  <c r="K21" i="150"/>
  <c r="K20" i="150"/>
  <c r="K19" i="150"/>
  <c r="K18" i="150"/>
  <c r="K17" i="150"/>
  <c r="K16" i="150"/>
  <c r="K15" i="150"/>
  <c r="K14" i="150"/>
  <c r="J25" i="150"/>
  <c r="J24" i="150"/>
  <c r="J23" i="150"/>
  <c r="J22" i="150"/>
  <c r="J21" i="150"/>
  <c r="J20" i="150"/>
  <c r="J19" i="150"/>
  <c r="J18" i="150"/>
  <c r="J17" i="150"/>
  <c r="J16" i="150"/>
  <c r="J15" i="150"/>
  <c r="J14" i="150"/>
  <c r="I26" i="150"/>
  <c r="H26" i="150"/>
  <c r="G26" i="150"/>
  <c r="F26" i="150"/>
  <c r="E26" i="150"/>
  <c r="C26" i="150"/>
  <c r="G12" i="149"/>
  <c r="F25" i="149"/>
  <c r="D25" i="149"/>
  <c r="D24" i="148"/>
  <c r="G11" i="148"/>
  <c r="G23" i="148"/>
  <c r="G17" i="148"/>
  <c r="G16" i="148"/>
  <c r="J23" i="147"/>
  <c r="J22" i="147"/>
  <c r="J21" i="147"/>
  <c r="J20" i="147"/>
  <c r="J19" i="147"/>
  <c r="J18" i="147"/>
  <c r="J17" i="147"/>
  <c r="J16" i="147"/>
  <c r="J15" i="147"/>
  <c r="J14" i="147"/>
  <c r="F24" i="147"/>
  <c r="F23" i="147"/>
  <c r="F22" i="147"/>
  <c r="F21" i="147"/>
  <c r="F20" i="147"/>
  <c r="F19" i="147"/>
  <c r="F18" i="147"/>
  <c r="F17" i="147"/>
  <c r="F16" i="147"/>
  <c r="F15" i="147"/>
  <c r="F14" i="147"/>
  <c r="F13" i="147"/>
  <c r="F12" i="147"/>
  <c r="G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J24" i="145"/>
  <c r="J23" i="145"/>
  <c r="J22" i="145"/>
  <c r="J21" i="145"/>
  <c r="J20" i="145"/>
  <c r="J19" i="145"/>
  <c r="J18" i="145"/>
  <c r="J17" i="145"/>
  <c r="J16" i="145"/>
  <c r="J15" i="145"/>
  <c r="J14" i="145"/>
  <c r="J13" i="145"/>
  <c r="J12" i="145"/>
  <c r="G24" i="145"/>
  <c r="G23" i="145"/>
  <c r="G22" i="145"/>
  <c r="G21" i="145"/>
  <c r="G20" i="145"/>
  <c r="G19" i="145"/>
  <c r="G18" i="145"/>
  <c r="G17" i="145"/>
  <c r="G16" i="145"/>
  <c r="G15" i="145"/>
  <c r="G14" i="145"/>
  <c r="G13" i="145"/>
  <c r="G12" i="145"/>
  <c r="F13" i="145"/>
  <c r="F14" i="145"/>
  <c r="F15" i="145"/>
  <c r="F16" i="145"/>
  <c r="F17" i="145"/>
  <c r="F18" i="145"/>
  <c r="F19" i="145"/>
  <c r="F20" i="145"/>
  <c r="F21" i="145"/>
  <c r="F22" i="145"/>
  <c r="F23" i="145"/>
  <c r="F24" i="145"/>
  <c r="F12" i="145"/>
  <c r="D25" i="161"/>
  <c r="F24" i="161"/>
  <c r="F23" i="161"/>
  <c r="F22" i="161"/>
  <c r="F21" i="161"/>
  <c r="F20" i="161"/>
  <c r="F19" i="161"/>
  <c r="F18" i="161"/>
  <c r="F17" i="161"/>
  <c r="F16" i="161"/>
  <c r="F15" i="161"/>
  <c r="F14" i="161"/>
  <c r="F13" i="161"/>
  <c r="F25" i="161" l="1"/>
  <c r="N21" i="152"/>
  <c r="O21" i="152"/>
  <c r="N18" i="152"/>
  <c r="O18" i="152"/>
  <c r="N26" i="152"/>
  <c r="O26" i="152"/>
  <c r="P14" i="152"/>
  <c r="P27" i="152" s="1"/>
  <c r="O14" i="152"/>
  <c r="H15" i="156"/>
  <c r="G14" i="148"/>
  <c r="H19" i="156"/>
  <c r="G18" i="148"/>
  <c r="H23" i="156"/>
  <c r="G22" i="148"/>
  <c r="H22" i="156"/>
  <c r="G21" i="148"/>
  <c r="H13" i="156"/>
  <c r="G12" i="148"/>
  <c r="H21" i="156"/>
  <c r="G20" i="148"/>
  <c r="H16" i="156"/>
  <c r="G15" i="148"/>
  <c r="H20" i="156"/>
  <c r="G19" i="148"/>
  <c r="H14" i="156"/>
  <c r="G13" i="148"/>
  <c r="N20" i="152"/>
  <c r="N19" i="152"/>
  <c r="H18" i="156"/>
  <c r="F25" i="145"/>
  <c r="F25" i="147"/>
  <c r="H12" i="156"/>
  <c r="H17" i="156"/>
  <c r="N15" i="152"/>
  <c r="N23" i="152"/>
  <c r="F25" i="146"/>
  <c r="N14" i="152"/>
  <c r="N22" i="152"/>
  <c r="N17" i="152"/>
  <c r="N25" i="152"/>
  <c r="N16" i="152"/>
  <c r="N24" i="152"/>
  <c r="J26" i="150"/>
  <c r="H24" i="156"/>
  <c r="F25" i="143"/>
  <c r="I34" i="148" l="1"/>
  <c r="O27" i="152"/>
  <c r="O13" i="153"/>
  <c r="N27" i="152"/>
  <c r="C25" i="143"/>
  <c r="D25" i="143"/>
  <c r="O24" i="47"/>
  <c r="L24" i="60"/>
  <c r="P23" i="60"/>
  <c r="N23" i="60"/>
  <c r="M23" i="60"/>
  <c r="P22" i="60"/>
  <c r="N22" i="60"/>
  <c r="M22" i="60"/>
  <c r="P21" i="60"/>
  <c r="N21" i="60"/>
  <c r="M21" i="60"/>
  <c r="P20" i="60"/>
  <c r="N20" i="60"/>
  <c r="M20" i="60"/>
  <c r="P19" i="60"/>
  <c r="N19" i="60"/>
  <c r="M19" i="60"/>
  <c r="P18" i="60"/>
  <c r="N18" i="60"/>
  <c r="M18" i="60"/>
  <c r="P17" i="60"/>
  <c r="N17" i="60"/>
  <c r="M17" i="60"/>
  <c r="P16" i="60"/>
  <c r="N16" i="60"/>
  <c r="M16" i="60"/>
  <c r="P15" i="60"/>
  <c r="N15" i="60"/>
  <c r="M15" i="60"/>
  <c r="P14" i="60"/>
  <c r="N14" i="60"/>
  <c r="M14" i="60"/>
  <c r="P13" i="60"/>
  <c r="N13" i="60"/>
  <c r="M13" i="60"/>
  <c r="P12" i="60"/>
  <c r="N12" i="60"/>
  <c r="M12" i="60"/>
  <c r="P11" i="60"/>
  <c r="N11" i="60"/>
  <c r="M11" i="60"/>
  <c r="K24" i="60"/>
  <c r="J24" i="60"/>
  <c r="I24" i="60"/>
  <c r="H24" i="60"/>
  <c r="F24" i="60"/>
  <c r="E24" i="60"/>
  <c r="D24" i="60"/>
  <c r="C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K24" i="59"/>
  <c r="J24" i="59"/>
  <c r="I24" i="59"/>
  <c r="H24" i="59"/>
  <c r="F24" i="59"/>
  <c r="E24" i="59"/>
  <c r="D24" i="59"/>
  <c r="C24" i="59"/>
  <c r="L23" i="59"/>
  <c r="D21" i="100" s="1"/>
  <c r="L22" i="59"/>
  <c r="D20" i="100" s="1"/>
  <c r="L21" i="59"/>
  <c r="D19" i="100" s="1"/>
  <c r="L20" i="59"/>
  <c r="L19" i="59"/>
  <c r="D17" i="100" s="1"/>
  <c r="L18" i="59"/>
  <c r="L17" i="59"/>
  <c r="D15" i="100" s="1"/>
  <c r="L16" i="59"/>
  <c r="D14" i="100" s="1"/>
  <c r="L15" i="59"/>
  <c r="D13" i="100" s="1"/>
  <c r="L14" i="59"/>
  <c r="D12" i="100" s="1"/>
  <c r="L13" i="59"/>
  <c r="M13" i="59" s="1"/>
  <c r="L12" i="59"/>
  <c r="L11" i="59"/>
  <c r="G23" i="59"/>
  <c r="G22" i="59"/>
  <c r="G21" i="59"/>
  <c r="G20" i="59"/>
  <c r="G19" i="59"/>
  <c r="G18" i="59"/>
  <c r="G17" i="59"/>
  <c r="G16" i="59"/>
  <c r="G15" i="59"/>
  <c r="G14" i="59"/>
  <c r="G13" i="59"/>
  <c r="G12" i="59"/>
  <c r="G11" i="59"/>
  <c r="L23" i="58"/>
  <c r="E21" i="100" s="1"/>
  <c r="L22" i="58"/>
  <c r="E20" i="100" s="1"/>
  <c r="L21" i="58"/>
  <c r="E19" i="100" s="1"/>
  <c r="L20" i="58"/>
  <c r="L19" i="58"/>
  <c r="L18" i="58"/>
  <c r="E16" i="100" s="1"/>
  <c r="L17" i="58"/>
  <c r="L16" i="58"/>
  <c r="E14" i="100" s="1"/>
  <c r="L15" i="58"/>
  <c r="E13" i="100" s="1"/>
  <c r="L14" i="58"/>
  <c r="E12" i="100" s="1"/>
  <c r="L13" i="58"/>
  <c r="E11" i="100" s="1"/>
  <c r="L12" i="58"/>
  <c r="L11" i="58"/>
  <c r="E9" i="100" s="1"/>
  <c r="K24" i="58"/>
  <c r="J24" i="58"/>
  <c r="I24" i="58"/>
  <c r="H24" i="58"/>
  <c r="F24" i="58"/>
  <c r="E24" i="58"/>
  <c r="D24" i="58"/>
  <c r="C24" i="58"/>
  <c r="G23" i="58"/>
  <c r="G22" i="58"/>
  <c r="G21" i="58"/>
  <c r="G20" i="58"/>
  <c r="G19" i="58"/>
  <c r="G18" i="58"/>
  <c r="G17" i="58"/>
  <c r="G16" i="58"/>
  <c r="G15" i="58"/>
  <c r="G14" i="58"/>
  <c r="G13" i="58"/>
  <c r="G12" i="58"/>
  <c r="G11" i="58"/>
  <c r="L24" i="1"/>
  <c r="M24" i="1" s="1"/>
  <c r="L23" i="1"/>
  <c r="M23" i="1" s="1"/>
  <c r="L22" i="1"/>
  <c r="L21" i="1"/>
  <c r="M21" i="1" s="1"/>
  <c r="L20" i="1"/>
  <c r="L19" i="1"/>
  <c r="M19" i="1" s="1"/>
  <c r="L18" i="1"/>
  <c r="L17" i="1"/>
  <c r="M17" i="1" s="1"/>
  <c r="L16" i="1"/>
  <c r="M16" i="1" s="1"/>
  <c r="L15" i="1"/>
  <c r="M15" i="1" s="1"/>
  <c r="L14" i="1"/>
  <c r="L13" i="1"/>
  <c r="M13" i="1" s="1"/>
  <c r="L12" i="1"/>
  <c r="M12" i="1" s="1"/>
  <c r="K25" i="1"/>
  <c r="J25" i="1"/>
  <c r="I25" i="1"/>
  <c r="H25" i="1"/>
  <c r="F25" i="1"/>
  <c r="E25" i="1"/>
  <c r="D25" i="1"/>
  <c r="C25" i="1"/>
  <c r="C26" i="154"/>
  <c r="C26" i="155"/>
  <c r="M21" i="59" l="1"/>
  <c r="M14" i="59"/>
  <c r="M22" i="59"/>
  <c r="Q15" i="60"/>
  <c r="H16" i="143" s="1"/>
  <c r="Q19" i="60"/>
  <c r="H20" i="143" s="1"/>
  <c r="C15" i="100"/>
  <c r="M18" i="1"/>
  <c r="D11" i="100"/>
  <c r="F11" i="100" s="1"/>
  <c r="C11" i="100"/>
  <c r="M14" i="1"/>
  <c r="C19" i="100"/>
  <c r="F19" i="100" s="1"/>
  <c r="M22" i="1"/>
  <c r="C17" i="100"/>
  <c r="M20" i="1"/>
  <c r="M16" i="59"/>
  <c r="L24" i="59"/>
  <c r="Q23" i="60"/>
  <c r="H24" i="143" s="1"/>
  <c r="G25" i="1"/>
  <c r="M15" i="59"/>
  <c r="M23" i="59"/>
  <c r="M18" i="59"/>
  <c r="D16" i="100"/>
  <c r="Q12" i="60"/>
  <c r="H13" i="143" s="1"/>
  <c r="Q20" i="60"/>
  <c r="H21" i="143" s="1"/>
  <c r="Q14" i="60"/>
  <c r="H15" i="143" s="1"/>
  <c r="Q16" i="60"/>
  <c r="H17" i="143" s="1"/>
  <c r="Q18" i="60"/>
  <c r="H19" i="143" s="1"/>
  <c r="Q22" i="60"/>
  <c r="H23" i="143" s="1"/>
  <c r="G24" i="59"/>
  <c r="M19" i="59"/>
  <c r="G9" i="100"/>
  <c r="J9" i="84" s="1"/>
  <c r="D9" i="84" s="1"/>
  <c r="O24" i="60"/>
  <c r="Q13" i="60"/>
  <c r="H14" i="143" s="1"/>
  <c r="Q17" i="60"/>
  <c r="H18" i="143" s="1"/>
  <c r="Q21" i="60"/>
  <c r="H22" i="143" s="1"/>
  <c r="G24" i="58"/>
  <c r="M17" i="59"/>
  <c r="M12" i="59"/>
  <c r="M20" i="59"/>
  <c r="N24" i="60"/>
  <c r="C10" i="103"/>
  <c r="C11" i="171"/>
  <c r="C9" i="124"/>
  <c r="C8" i="162"/>
  <c r="C23" i="66"/>
  <c r="D23" i="66" s="1"/>
  <c r="G24" i="143"/>
  <c r="C14" i="66"/>
  <c r="D14" i="66" s="1"/>
  <c r="G15" i="143"/>
  <c r="C22" i="66"/>
  <c r="D22" i="66" s="1"/>
  <c r="G23" i="143"/>
  <c r="G12" i="161"/>
  <c r="E11" i="66"/>
  <c r="E19" i="66"/>
  <c r="F19" i="66" s="1"/>
  <c r="G20" i="161"/>
  <c r="D9" i="100"/>
  <c r="P24" i="60"/>
  <c r="C16" i="66"/>
  <c r="D16" i="66" s="1"/>
  <c r="G17" i="143"/>
  <c r="G22" i="161"/>
  <c r="E21" i="66"/>
  <c r="F21" i="66" s="1"/>
  <c r="C15" i="66"/>
  <c r="D15" i="66" s="1"/>
  <c r="G16" i="143"/>
  <c r="E20" i="66"/>
  <c r="F20" i="66" s="1"/>
  <c r="G21" i="161"/>
  <c r="C13" i="66"/>
  <c r="D13" i="66" s="1"/>
  <c r="G14" i="143"/>
  <c r="C21" i="66"/>
  <c r="D21" i="66" s="1"/>
  <c r="G22" i="143"/>
  <c r="G19" i="161"/>
  <c r="E18" i="66"/>
  <c r="F18" i="66" s="1"/>
  <c r="C14" i="100"/>
  <c r="F14" i="100" s="1"/>
  <c r="M11" i="59"/>
  <c r="C9" i="100"/>
  <c r="C20" i="100"/>
  <c r="F20" i="100" s="1"/>
  <c r="C12" i="100"/>
  <c r="F12" i="100" s="1"/>
  <c r="Q11" i="60"/>
  <c r="C12" i="66"/>
  <c r="D12" i="66" s="1"/>
  <c r="G13" i="143"/>
  <c r="C20" i="66"/>
  <c r="D20" i="66" s="1"/>
  <c r="G21" i="143"/>
  <c r="E17" i="66"/>
  <c r="F17" i="66" s="1"/>
  <c r="G18" i="161"/>
  <c r="E17" i="100"/>
  <c r="F17" i="100" s="1"/>
  <c r="C11" i="66"/>
  <c r="G12" i="143"/>
  <c r="G17" i="161"/>
  <c r="E16" i="66"/>
  <c r="F16" i="66" s="1"/>
  <c r="C18" i="100"/>
  <c r="C10" i="100"/>
  <c r="M24" i="60"/>
  <c r="G14" i="161"/>
  <c r="E13" i="66"/>
  <c r="F13" i="66" s="1"/>
  <c r="G13" i="161"/>
  <c r="E12" i="66"/>
  <c r="F12" i="66" s="1"/>
  <c r="C19" i="66"/>
  <c r="D19" i="66" s="1"/>
  <c r="G20" i="143"/>
  <c r="C18" i="66"/>
  <c r="D18" i="66" s="1"/>
  <c r="G19" i="143"/>
  <c r="E15" i="66"/>
  <c r="F15" i="66" s="1"/>
  <c r="G16" i="161"/>
  <c r="E23" i="66"/>
  <c r="F23" i="66" s="1"/>
  <c r="G24" i="161"/>
  <c r="C21" i="100"/>
  <c r="F21" i="100" s="1"/>
  <c r="D18" i="100"/>
  <c r="E15" i="100"/>
  <c r="F15" i="100" s="1"/>
  <c r="C13" i="100"/>
  <c r="F13" i="100" s="1"/>
  <c r="D10" i="100"/>
  <c r="C17" i="66"/>
  <c r="D17" i="66" s="1"/>
  <c r="G18" i="143"/>
  <c r="G15" i="161"/>
  <c r="E14" i="66"/>
  <c r="F14" i="66" s="1"/>
  <c r="G23" i="161"/>
  <c r="E22" i="66"/>
  <c r="F22" i="66" s="1"/>
  <c r="E18" i="100"/>
  <c r="C16" i="100"/>
  <c r="F16" i="100" s="1"/>
  <c r="E10" i="100"/>
  <c r="H23" i="161"/>
  <c r="H12" i="161"/>
  <c r="H13" i="161"/>
  <c r="H14" i="161"/>
  <c r="H15" i="161"/>
  <c r="H16" i="161"/>
  <c r="H17" i="161"/>
  <c r="H18" i="161"/>
  <c r="H19" i="161"/>
  <c r="H20" i="161"/>
  <c r="H21" i="161"/>
  <c r="H22" i="161"/>
  <c r="H24" i="161"/>
  <c r="G24" i="60"/>
  <c r="L24" i="58"/>
  <c r="L25" i="1"/>
  <c r="J17" i="161" l="1"/>
  <c r="J23" i="143"/>
  <c r="J24" i="143"/>
  <c r="J22" i="143"/>
  <c r="J19" i="143"/>
  <c r="J13" i="143"/>
  <c r="J13" i="161"/>
  <c r="J16" i="143"/>
  <c r="J16" i="161"/>
  <c r="J19" i="161"/>
  <c r="J15" i="161"/>
  <c r="J23" i="161"/>
  <c r="C11" i="93"/>
  <c r="E11" i="93" s="1"/>
  <c r="J18" i="143"/>
  <c r="J17" i="143"/>
  <c r="J21" i="161"/>
  <c r="J21" i="143"/>
  <c r="J20" i="161"/>
  <c r="J12" i="161"/>
  <c r="J24" i="161"/>
  <c r="J22" i="161"/>
  <c r="J18" i="161"/>
  <c r="J14" i="161"/>
  <c r="J14" i="143"/>
  <c r="J15" i="143"/>
  <c r="J20" i="143"/>
  <c r="M25" i="1"/>
  <c r="J9" i="124"/>
  <c r="H9" i="124"/>
  <c r="E22" i="100"/>
  <c r="M24" i="59"/>
  <c r="H12" i="143"/>
  <c r="Q24" i="60"/>
  <c r="E24" i="66"/>
  <c r="F11" i="66"/>
  <c r="H25" i="161"/>
  <c r="D22" i="100"/>
  <c r="F18" i="100"/>
  <c r="C22" i="100"/>
  <c r="F9" i="100"/>
  <c r="F22" i="100" s="1"/>
  <c r="F10" i="100"/>
  <c r="D11" i="66"/>
  <c r="D24" i="66" s="1"/>
  <c r="C24" i="66"/>
  <c r="G25" i="161"/>
  <c r="J25" i="161" l="1"/>
  <c r="J12" i="143"/>
  <c r="J25" i="143" s="1"/>
  <c r="L24" i="29"/>
  <c r="K24" i="29"/>
  <c r="E22" i="165"/>
  <c r="F22" i="165" s="1"/>
  <c r="E21" i="165"/>
  <c r="F21" i="165" s="1"/>
  <c r="E19" i="165"/>
  <c r="F19" i="165" s="1"/>
  <c r="E18" i="165"/>
  <c r="F18" i="165" s="1"/>
  <c r="E12" i="165"/>
  <c r="F12" i="165" s="1"/>
  <c r="N24" i="165"/>
  <c r="M24" i="165"/>
  <c r="L24" i="165"/>
  <c r="K24" i="165"/>
  <c r="J24" i="165"/>
  <c r="H24" i="165"/>
  <c r="G24" i="165"/>
  <c r="C24" i="165"/>
  <c r="F23" i="165"/>
  <c r="F20" i="165"/>
  <c r="F17" i="165"/>
  <c r="F16" i="165"/>
  <c r="F15" i="165"/>
  <c r="F14" i="165"/>
  <c r="F13" i="165"/>
  <c r="F11" i="165"/>
  <c r="J24" i="166"/>
  <c r="F23" i="166"/>
  <c r="F20" i="166"/>
  <c r="F17" i="166"/>
  <c r="F16" i="166"/>
  <c r="F15" i="166"/>
  <c r="F14" i="166"/>
  <c r="F13" i="166"/>
  <c r="F11" i="166"/>
  <c r="E21" i="166"/>
  <c r="F21" i="166" s="1"/>
  <c r="E22" i="166"/>
  <c r="F22" i="166" s="1"/>
  <c r="E19" i="166"/>
  <c r="F19" i="166" s="1"/>
  <c r="E18" i="166"/>
  <c r="F18" i="166" s="1"/>
  <c r="E12" i="166"/>
  <c r="F12" i="166" s="1"/>
  <c r="C24" i="166"/>
  <c r="N24" i="166"/>
  <c r="M24" i="166"/>
  <c r="L24" i="166"/>
  <c r="K24" i="166"/>
  <c r="H24" i="166"/>
  <c r="G24" i="166"/>
  <c r="I24" i="166" l="1"/>
  <c r="F24" i="166"/>
  <c r="E24" i="165"/>
  <c r="I24" i="165"/>
  <c r="F24" i="165"/>
  <c r="E24" i="166"/>
  <c r="O24" i="171" l="1"/>
  <c r="N24" i="171"/>
  <c r="M24" i="171"/>
  <c r="L24" i="171"/>
  <c r="K24" i="171"/>
  <c r="J24" i="171"/>
  <c r="I24" i="171"/>
  <c r="H24" i="171"/>
  <c r="G24" i="171"/>
  <c r="F24" i="171"/>
  <c r="E24" i="171"/>
  <c r="D24" i="171"/>
  <c r="J24" i="147" l="1"/>
  <c r="H24" i="146"/>
  <c r="K21" i="105"/>
  <c r="K20" i="105"/>
  <c r="K19" i="105"/>
  <c r="K18" i="105"/>
  <c r="K16" i="105"/>
  <c r="K15" i="105"/>
  <c r="K14" i="105"/>
  <c r="K13" i="105"/>
  <c r="K12" i="105"/>
  <c r="K11" i="105"/>
  <c r="K10" i="105"/>
  <c r="I22" i="84"/>
  <c r="H22" i="84"/>
  <c r="F22" i="84"/>
  <c r="E22" i="84"/>
  <c r="C22" i="84"/>
  <c r="K9" i="105"/>
  <c r="J24" i="146" l="1"/>
  <c r="H25" i="146"/>
  <c r="K22" i="105"/>
  <c r="F25" i="156"/>
  <c r="G21" i="100"/>
  <c r="G20" i="100"/>
  <c r="G19" i="100"/>
  <c r="G18" i="100"/>
  <c r="G17" i="100"/>
  <c r="G16" i="100"/>
  <c r="G15" i="100"/>
  <c r="G14" i="100"/>
  <c r="G13" i="100"/>
  <c r="G12" i="100"/>
  <c r="G11" i="100"/>
  <c r="G10" i="100"/>
  <c r="F24" i="168"/>
  <c r="F23" i="168"/>
  <c r="F22" i="168"/>
  <c r="F21" i="168"/>
  <c r="F20" i="168"/>
  <c r="F19" i="168"/>
  <c r="F18" i="168"/>
  <c r="F17" i="168"/>
  <c r="F16" i="168"/>
  <c r="F13" i="168"/>
  <c r="E24" i="168"/>
  <c r="E23" i="168"/>
  <c r="E22" i="168"/>
  <c r="E21" i="168"/>
  <c r="E20" i="168"/>
  <c r="E19" i="168"/>
  <c r="E18" i="168"/>
  <c r="E17" i="168"/>
  <c r="E16" i="168"/>
  <c r="E15" i="168"/>
  <c r="E14" i="168"/>
  <c r="E13" i="168"/>
  <c r="E12" i="168"/>
  <c r="D13" i="168"/>
  <c r="J13" i="168" s="1"/>
  <c r="D24" i="168"/>
  <c r="J24" i="168" s="1"/>
  <c r="D23" i="168"/>
  <c r="J23" i="168" s="1"/>
  <c r="D22" i="168"/>
  <c r="J22" i="168" s="1"/>
  <c r="D21" i="168"/>
  <c r="J21" i="168" s="1"/>
  <c r="D20" i="168"/>
  <c r="J20" i="168" s="1"/>
  <c r="D19" i="168"/>
  <c r="J19" i="168" s="1"/>
  <c r="D18" i="168"/>
  <c r="J18" i="168" s="1"/>
  <c r="D17" i="168"/>
  <c r="J17" i="168" s="1"/>
  <c r="D16" i="168"/>
  <c r="J16" i="168" s="1"/>
  <c r="C24" i="168"/>
  <c r="I24" i="168" s="1"/>
  <c r="C23" i="168"/>
  <c r="I23" i="168" s="1"/>
  <c r="C22" i="168"/>
  <c r="I22" i="168" s="1"/>
  <c r="C21" i="168"/>
  <c r="I21" i="168" s="1"/>
  <c r="C20" i="168"/>
  <c r="I20" i="168" s="1"/>
  <c r="C19" i="168"/>
  <c r="I19" i="168" s="1"/>
  <c r="C18" i="168"/>
  <c r="I18" i="168" s="1"/>
  <c r="C17" i="168"/>
  <c r="I17" i="168" s="1"/>
  <c r="C16" i="168"/>
  <c r="I16" i="168" s="1"/>
  <c r="C15" i="168"/>
  <c r="I15" i="168" s="1"/>
  <c r="C14" i="168"/>
  <c r="I14" i="168" s="1"/>
  <c r="C13" i="168"/>
  <c r="I13" i="168" s="1"/>
  <c r="C12" i="168"/>
  <c r="I12" i="168" s="1"/>
  <c r="L25" i="168"/>
  <c r="K25" i="168"/>
  <c r="H25" i="168"/>
  <c r="G25" i="168"/>
  <c r="L24" i="167"/>
  <c r="K24" i="167"/>
  <c r="H24" i="167"/>
  <c r="G24" i="167"/>
  <c r="F22" i="167"/>
  <c r="F21" i="167"/>
  <c r="F20" i="167"/>
  <c r="F19" i="167"/>
  <c r="F18" i="167"/>
  <c r="F12" i="167"/>
  <c r="E23" i="167"/>
  <c r="E22" i="167"/>
  <c r="E21" i="167"/>
  <c r="E20" i="167"/>
  <c r="E19" i="167"/>
  <c r="E18" i="167"/>
  <c r="E17" i="167"/>
  <c r="E16" i="167"/>
  <c r="E15" i="167"/>
  <c r="E14" i="167"/>
  <c r="E13" i="167"/>
  <c r="E12" i="167"/>
  <c r="E11" i="167"/>
  <c r="C11" i="167"/>
  <c r="I11" i="167" s="1"/>
  <c r="D22" i="167"/>
  <c r="J22" i="167" s="1"/>
  <c r="D21" i="167"/>
  <c r="J21" i="167" s="1"/>
  <c r="D20" i="167"/>
  <c r="J20" i="167" s="1"/>
  <c r="D19" i="167"/>
  <c r="J19" i="167" s="1"/>
  <c r="D18" i="167"/>
  <c r="J18" i="167" s="1"/>
  <c r="D12" i="167"/>
  <c r="J12" i="167" s="1"/>
  <c r="C23" i="167"/>
  <c r="I23" i="167" s="1"/>
  <c r="C22" i="167"/>
  <c r="I22" i="167" s="1"/>
  <c r="C21" i="167"/>
  <c r="I21" i="167" s="1"/>
  <c r="C20" i="167"/>
  <c r="I20" i="167" s="1"/>
  <c r="C19" i="167"/>
  <c r="I19" i="167" s="1"/>
  <c r="C18" i="167"/>
  <c r="I18" i="167" s="1"/>
  <c r="C17" i="167"/>
  <c r="I17" i="167" s="1"/>
  <c r="C16" i="167"/>
  <c r="I16" i="167" s="1"/>
  <c r="C15" i="167"/>
  <c r="I15" i="167" s="1"/>
  <c r="C14" i="167"/>
  <c r="I14" i="167" s="1"/>
  <c r="C13" i="167"/>
  <c r="I13" i="167" s="1"/>
  <c r="C12" i="167"/>
  <c r="I12" i="167" s="1"/>
  <c r="F23" i="167" l="1"/>
  <c r="J17" i="84"/>
  <c r="D17" i="84" s="1"/>
  <c r="C17" i="124"/>
  <c r="C19" i="93"/>
  <c r="E19" i="93" s="1"/>
  <c r="C19" i="171"/>
  <c r="C16" i="162"/>
  <c r="C18" i="103"/>
  <c r="C17" i="93"/>
  <c r="C17" i="171"/>
  <c r="C16" i="103"/>
  <c r="D16" i="103" s="1"/>
  <c r="J15" i="84"/>
  <c r="D15" i="84" s="1"/>
  <c r="C15" i="124"/>
  <c r="C14" i="162"/>
  <c r="C16" i="93"/>
  <c r="E16" i="93" s="1"/>
  <c r="C15" i="103"/>
  <c r="D15" i="103" s="1"/>
  <c r="C16" i="171"/>
  <c r="C13" i="162"/>
  <c r="J14" i="84"/>
  <c r="D14" i="84" s="1"/>
  <c r="C14" i="124"/>
  <c r="C15" i="93"/>
  <c r="E15" i="93" s="1"/>
  <c r="C14" i="103"/>
  <c r="D14" i="103" s="1"/>
  <c r="C13" i="124"/>
  <c r="C15" i="171"/>
  <c r="C12" i="162"/>
  <c r="J13" i="84"/>
  <c r="D13" i="84" s="1"/>
  <c r="C22" i="103"/>
  <c r="C20" i="162"/>
  <c r="C23" i="93"/>
  <c r="E23" i="93" s="1"/>
  <c r="C23" i="171"/>
  <c r="J21" i="84"/>
  <c r="D21" i="84" s="1"/>
  <c r="C21" i="124"/>
  <c r="C18" i="93"/>
  <c r="E18" i="93" s="1"/>
  <c r="C18" i="171"/>
  <c r="J16" i="84"/>
  <c r="D16" i="84" s="1"/>
  <c r="C16" i="124"/>
  <c r="C15" i="162"/>
  <c r="C17" i="103"/>
  <c r="D17" i="103" s="1"/>
  <c r="C11" i="162"/>
  <c r="J12" i="84"/>
  <c r="D12" i="84" s="1"/>
  <c r="C13" i="103"/>
  <c r="C12" i="124"/>
  <c r="C14" i="93"/>
  <c r="E14" i="93" s="1"/>
  <c r="C14" i="171"/>
  <c r="C22" i="93"/>
  <c r="E22" i="93" s="1"/>
  <c r="C19" i="162"/>
  <c r="C21" i="103"/>
  <c r="J20" i="84"/>
  <c r="D20" i="84" s="1"/>
  <c r="C22" i="171"/>
  <c r="C20" i="124"/>
  <c r="D23" i="167"/>
  <c r="J23" i="167" s="1"/>
  <c r="J11" i="84"/>
  <c r="D11" i="84" s="1"/>
  <c r="C11" i="124"/>
  <c r="C10" i="162"/>
  <c r="C12" i="103"/>
  <c r="C13" i="93"/>
  <c r="E13" i="93" s="1"/>
  <c r="C13" i="171"/>
  <c r="J19" i="84"/>
  <c r="D19" i="84" s="1"/>
  <c r="C19" i="124"/>
  <c r="C18" i="162"/>
  <c r="C20" i="103"/>
  <c r="C21" i="93"/>
  <c r="E21" i="93" s="1"/>
  <c r="C21" i="171"/>
  <c r="J10" i="84"/>
  <c r="C10" i="124"/>
  <c r="C9" i="162"/>
  <c r="C12" i="93"/>
  <c r="E12" i="93" s="1"/>
  <c r="C11" i="103"/>
  <c r="C12" i="171"/>
  <c r="C17" i="162"/>
  <c r="J18" i="84"/>
  <c r="D18" i="84" s="1"/>
  <c r="C18" i="124"/>
  <c r="C20" i="93"/>
  <c r="E20" i="93" s="1"/>
  <c r="C19" i="103"/>
  <c r="C20" i="171"/>
  <c r="E24" i="167"/>
  <c r="I25" i="168"/>
  <c r="C24" i="167"/>
  <c r="I24" i="167"/>
  <c r="G22" i="100"/>
  <c r="E25" i="168"/>
  <c r="C25" i="168"/>
  <c r="J18" i="124" l="1"/>
  <c r="H18" i="124"/>
  <c r="H16" i="124"/>
  <c r="J16" i="124"/>
  <c r="J21" i="124"/>
  <c r="H21" i="124"/>
  <c r="H14" i="124"/>
  <c r="J14" i="124"/>
  <c r="J17" i="124"/>
  <c r="J19" i="124"/>
  <c r="H19" i="124"/>
  <c r="J13" i="124"/>
  <c r="H13" i="124"/>
  <c r="H20" i="124"/>
  <c r="J20" i="124"/>
  <c r="H12" i="124"/>
  <c r="J12" i="124"/>
  <c r="H10" i="124"/>
  <c r="J10" i="124"/>
  <c r="H11" i="124"/>
  <c r="J11" i="124"/>
  <c r="H15" i="124"/>
  <c r="J15" i="124"/>
  <c r="G17" i="93"/>
  <c r="I17" i="93" s="1"/>
  <c r="K17" i="93" s="1"/>
  <c r="E17" i="93"/>
  <c r="C24" i="171"/>
  <c r="D10" i="84"/>
  <c r="J22" i="84"/>
  <c r="C22" i="124"/>
  <c r="F10" i="103"/>
  <c r="F21" i="162"/>
  <c r="E21" i="162"/>
  <c r="D21" i="162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D22" i="84" l="1"/>
  <c r="F24" i="66"/>
  <c r="C21" i="162"/>
  <c r="F22" i="123"/>
  <c r="G21" i="162"/>
  <c r="L18" i="108" l="1"/>
  <c r="O22" i="108" l="1"/>
  <c r="N22" i="108"/>
  <c r="M22" i="108"/>
  <c r="L22" i="108"/>
  <c r="K22" i="108"/>
  <c r="J22" i="108"/>
  <c r="C22" i="108"/>
  <c r="L12" i="142" l="1"/>
  <c r="L11" i="142"/>
  <c r="L13" i="142" s="1"/>
  <c r="I24" i="164" l="1"/>
  <c r="F11" i="164"/>
  <c r="E11" i="164" s="1"/>
  <c r="F23" i="164"/>
  <c r="E23" i="164" s="1"/>
  <c r="F22" i="164"/>
  <c r="E22" i="164" s="1"/>
  <c r="F21" i="164"/>
  <c r="E21" i="164" s="1"/>
  <c r="F20" i="164"/>
  <c r="E20" i="164" s="1"/>
  <c r="F19" i="164"/>
  <c r="E19" i="164" s="1"/>
  <c r="F18" i="164"/>
  <c r="E18" i="164" s="1"/>
  <c r="F17" i="164"/>
  <c r="E17" i="164" s="1"/>
  <c r="F16" i="164"/>
  <c r="E16" i="164" s="1"/>
  <c r="F15" i="164"/>
  <c r="E15" i="164" s="1"/>
  <c r="F14" i="164"/>
  <c r="E14" i="164" s="1"/>
  <c r="F13" i="164"/>
  <c r="E13" i="164" s="1"/>
  <c r="F12" i="164"/>
  <c r="F24" i="164" l="1"/>
  <c r="E12" i="164"/>
  <c r="D18" i="154"/>
  <c r="D18" i="155"/>
  <c r="N18" i="154" l="1"/>
  <c r="N26" i="154" s="1"/>
  <c r="O18" i="154"/>
  <c r="O26" i="154" s="1"/>
  <c r="D26" i="154"/>
  <c r="N18" i="155"/>
  <c r="N26" i="155" s="1"/>
  <c r="O18" i="155"/>
  <c r="O26" i="155" s="1"/>
  <c r="D26" i="155"/>
  <c r="G22" i="169"/>
  <c r="F22" i="169"/>
  <c r="E22" i="169"/>
  <c r="D22" i="169"/>
  <c r="C22" i="169"/>
  <c r="H24" i="164"/>
  <c r="G24" i="164"/>
  <c r="C24" i="164"/>
  <c r="L24" i="163"/>
  <c r="K24" i="163"/>
  <c r="F24" i="163"/>
  <c r="E24" i="163"/>
  <c r="D24" i="163"/>
  <c r="C24" i="163"/>
  <c r="G23" i="163"/>
  <c r="M23" i="163" s="1"/>
  <c r="G22" i="163"/>
  <c r="M22" i="163" s="1"/>
  <c r="G21" i="163"/>
  <c r="M21" i="163" s="1"/>
  <c r="G20" i="163"/>
  <c r="M20" i="163" s="1"/>
  <c r="G19" i="163"/>
  <c r="M19" i="163" s="1"/>
  <c r="G18" i="163"/>
  <c r="M18" i="163" s="1"/>
  <c r="G17" i="163"/>
  <c r="M17" i="163" s="1"/>
  <c r="G16" i="163"/>
  <c r="M16" i="163" s="1"/>
  <c r="G15" i="163"/>
  <c r="M15" i="163" s="1"/>
  <c r="G14" i="163"/>
  <c r="M14" i="163" s="1"/>
  <c r="G13" i="163"/>
  <c r="M13" i="163" s="1"/>
  <c r="G12" i="163"/>
  <c r="M12" i="163" s="1"/>
  <c r="G11" i="163"/>
  <c r="M11" i="163" s="1"/>
  <c r="J12" i="163" l="1"/>
  <c r="I12" i="163" s="1"/>
  <c r="J13" i="163"/>
  <c r="I13" i="163" s="1"/>
  <c r="J19" i="163"/>
  <c r="I19" i="163" s="1"/>
  <c r="J18" i="163"/>
  <c r="I18" i="163" s="1"/>
  <c r="J11" i="163"/>
  <c r="I11" i="163" s="1"/>
  <c r="J14" i="163"/>
  <c r="J20" i="163"/>
  <c r="I20" i="163" s="1"/>
  <c r="J17" i="163"/>
  <c r="I17" i="163" s="1"/>
  <c r="J16" i="163"/>
  <c r="I16" i="163" s="1"/>
  <c r="J15" i="163"/>
  <c r="I15" i="163" s="1"/>
  <c r="J23" i="163"/>
  <c r="I23" i="163" s="1"/>
  <c r="E24" i="164"/>
  <c r="J22" i="163"/>
  <c r="I22" i="163" s="1"/>
  <c r="J21" i="163"/>
  <c r="I21" i="163" s="1"/>
  <c r="G24" i="163"/>
  <c r="M24" i="163" s="1"/>
  <c r="I14" i="163"/>
  <c r="I24" i="163" l="1"/>
  <c r="J24" i="163"/>
  <c r="G11" i="158"/>
  <c r="H11" i="158" s="1"/>
  <c r="D12" i="93"/>
  <c r="D13" i="93"/>
  <c r="D14" i="93"/>
  <c r="D15" i="93"/>
  <c r="D16" i="93"/>
  <c r="D17" i="93"/>
  <c r="D18" i="93"/>
  <c r="D20" i="93"/>
  <c r="D21" i="93"/>
  <c r="D22" i="93"/>
  <c r="D23" i="93"/>
  <c r="D11" i="93"/>
  <c r="D22" i="132"/>
  <c r="E22" i="132"/>
  <c r="F22" i="132"/>
  <c r="G22" i="132"/>
  <c r="I22" i="132"/>
  <c r="J22" i="132"/>
  <c r="K22" i="132"/>
  <c r="L22" i="132"/>
  <c r="F17" i="124"/>
  <c r="H17" i="124" s="1"/>
  <c r="J19" i="115"/>
  <c r="H24" i="14"/>
  <c r="H23" i="14"/>
  <c r="H22" i="14"/>
  <c r="H21" i="14"/>
  <c r="H20" i="14"/>
  <c r="H19" i="14"/>
  <c r="H18" i="14"/>
  <c r="H13" i="14"/>
  <c r="H14" i="14"/>
  <c r="H15" i="14"/>
  <c r="H12" i="14"/>
  <c r="G25" i="14"/>
  <c r="F25" i="14"/>
  <c r="E25" i="14"/>
  <c r="E26" i="14" s="1"/>
  <c r="D25" i="14"/>
  <c r="C25" i="14"/>
  <c r="C26" i="14" s="1"/>
  <c r="G16" i="14"/>
  <c r="F16" i="14"/>
  <c r="D16" i="14"/>
  <c r="I12" i="156"/>
  <c r="G13" i="156"/>
  <c r="I13" i="156"/>
  <c r="G14" i="156"/>
  <c r="I14" i="156"/>
  <c r="G15" i="156"/>
  <c r="I15" i="156"/>
  <c r="G16" i="156"/>
  <c r="I16" i="156"/>
  <c r="G17" i="156"/>
  <c r="I17" i="156"/>
  <c r="G18" i="156"/>
  <c r="I18" i="156"/>
  <c r="G19" i="156"/>
  <c r="I19" i="156"/>
  <c r="G20" i="156"/>
  <c r="I20" i="156"/>
  <c r="G21" i="156"/>
  <c r="I21" i="156"/>
  <c r="G22" i="156"/>
  <c r="I22" i="156"/>
  <c r="G23" i="156"/>
  <c r="I23" i="156"/>
  <c r="G24" i="156"/>
  <c r="I24" i="156"/>
  <c r="E18" i="155"/>
  <c r="F13" i="155"/>
  <c r="E13" i="155"/>
  <c r="Q13" i="154"/>
  <c r="G13" i="154"/>
  <c r="D26" i="150"/>
  <c r="J12" i="147"/>
  <c r="J18" i="146"/>
  <c r="J17" i="146"/>
  <c r="J16" i="146"/>
  <c r="J15" i="146"/>
  <c r="J14" i="146"/>
  <c r="J12" i="146"/>
  <c r="D25" i="146"/>
  <c r="C25" i="161"/>
  <c r="O24" i="161"/>
  <c r="P22" i="161"/>
  <c r="P21" i="161"/>
  <c r="P20" i="161"/>
  <c r="P19" i="161"/>
  <c r="P18" i="161"/>
  <c r="P17" i="161"/>
  <c r="P16" i="161"/>
  <c r="P15" i="161"/>
  <c r="P14" i="161"/>
  <c r="P13" i="161"/>
  <c r="P12" i="161"/>
  <c r="G26" i="14" l="1"/>
  <c r="J11" i="158"/>
  <c r="J25" i="146"/>
  <c r="F11" i="167"/>
  <c r="D11" i="167"/>
  <c r="J11" i="167" s="1"/>
  <c r="D26" i="14"/>
  <c r="J25" i="147"/>
  <c r="F12" i="168"/>
  <c r="D12" i="168"/>
  <c r="J12" i="168" s="1"/>
  <c r="K21" i="124"/>
  <c r="F13" i="103"/>
  <c r="F11" i="103"/>
  <c r="D24" i="93"/>
  <c r="D15" i="168"/>
  <c r="J15" i="168" s="1"/>
  <c r="F15" i="168"/>
  <c r="F14" i="168"/>
  <c r="D14" i="168"/>
  <c r="F13" i="167"/>
  <c r="D13" i="167"/>
  <c r="F17" i="167"/>
  <c r="D17" i="167"/>
  <c r="J17" i="167" s="1"/>
  <c r="D16" i="167"/>
  <c r="J16" i="167" s="1"/>
  <c r="F16" i="167"/>
  <c r="F15" i="167"/>
  <c r="D15" i="167"/>
  <c r="J15" i="167" s="1"/>
  <c r="F14" i="167"/>
  <c r="D14" i="167"/>
  <c r="J14" i="167" s="1"/>
  <c r="F12" i="103"/>
  <c r="H16" i="14"/>
  <c r="H25" i="14"/>
  <c r="F26" i="14"/>
  <c r="H26" i="14" l="1"/>
  <c r="C24" i="93"/>
  <c r="F25" i="168"/>
  <c r="J14" i="168"/>
  <c r="J25" i="168" s="1"/>
  <c r="D25" i="168"/>
  <c r="J13" i="167"/>
  <c r="J24" i="167" s="1"/>
  <c r="D24" i="167"/>
  <c r="F24" i="167"/>
  <c r="C21" i="96"/>
  <c r="C28" i="96"/>
  <c r="S30" i="142"/>
  <c r="Q30" i="142"/>
  <c r="O30" i="142"/>
  <c r="G30" i="142"/>
  <c r="C33" i="96" l="1"/>
  <c r="N13" i="159"/>
  <c r="E25" i="153" l="1"/>
  <c r="E24" i="153"/>
  <c r="E23" i="153"/>
  <c r="E22" i="153"/>
  <c r="E21" i="153"/>
  <c r="E20" i="153"/>
  <c r="E19" i="153"/>
  <c r="E18" i="153"/>
  <c r="E17" i="153"/>
  <c r="E16" i="153"/>
  <c r="E14" i="153"/>
  <c r="E13" i="153"/>
  <c r="G11" i="29" l="1"/>
  <c r="M11" i="29" s="1"/>
  <c r="J11" i="29" l="1"/>
  <c r="J25" i="145"/>
  <c r="H25" i="145"/>
  <c r="G25" i="145"/>
  <c r="D25" i="145"/>
  <c r="C25" i="145"/>
  <c r="G23" i="29" l="1"/>
  <c r="M23" i="29" s="1"/>
  <c r="G21" i="29"/>
  <c r="M21" i="29" s="1"/>
  <c r="G22" i="29"/>
  <c r="M22" i="29" s="1"/>
  <c r="G20" i="29"/>
  <c r="M20" i="29" s="1"/>
  <c r="G19" i="29"/>
  <c r="M19" i="29" s="1"/>
  <c r="G18" i="29"/>
  <c r="M18" i="29" s="1"/>
  <c r="G17" i="29"/>
  <c r="M17" i="29" s="1"/>
  <c r="G16" i="29"/>
  <c r="M16" i="29" s="1"/>
  <c r="G15" i="29"/>
  <c r="M15" i="29" s="1"/>
  <c r="G14" i="29"/>
  <c r="M14" i="29" s="1"/>
  <c r="G13" i="29"/>
  <c r="M13" i="29" s="1"/>
  <c r="G12" i="29"/>
  <c r="M12" i="29" s="1"/>
  <c r="AB24" i="159"/>
  <c r="AA24" i="159"/>
  <c r="X24" i="159"/>
  <c r="W24" i="159"/>
  <c r="S24" i="159"/>
  <c r="D24" i="159"/>
  <c r="M24" i="29" l="1"/>
  <c r="G24" i="29"/>
  <c r="M16" i="58" l="1"/>
  <c r="M13" i="58"/>
  <c r="M21" i="58"/>
  <c r="M12" i="58"/>
  <c r="M20" i="58"/>
  <c r="M14" i="58"/>
  <c r="M18" i="58"/>
  <c r="M15" i="58"/>
  <c r="M19" i="58"/>
  <c r="M23" i="58"/>
  <c r="M24" i="58" l="1"/>
  <c r="H9" i="100"/>
  <c r="G25" i="143"/>
  <c r="C23" i="103" s="1"/>
  <c r="F38" i="149"/>
  <c r="F37" i="149"/>
  <c r="H10" i="100" l="1"/>
  <c r="K24" i="47" l="1"/>
  <c r="E24" i="93" l="1"/>
  <c r="AU12" i="159"/>
  <c r="AU13" i="159"/>
  <c r="AU14" i="159"/>
  <c r="AU15" i="159"/>
  <c r="AU16" i="159"/>
  <c r="AU17" i="159"/>
  <c r="AU18" i="159"/>
  <c r="AU19" i="159"/>
  <c r="AU20" i="159"/>
  <c r="AU21" i="159"/>
  <c r="AU22" i="159"/>
  <c r="AU23" i="159"/>
  <c r="AU11" i="159"/>
  <c r="C24" i="159"/>
  <c r="AQ12" i="159"/>
  <c r="AS12" i="159" s="1"/>
  <c r="AQ13" i="159"/>
  <c r="AS13" i="159" s="1"/>
  <c r="AQ14" i="159"/>
  <c r="AS14" i="159" s="1"/>
  <c r="AQ15" i="159"/>
  <c r="AS15" i="159" s="1"/>
  <c r="AQ16" i="159"/>
  <c r="AS16" i="159" s="1"/>
  <c r="AQ17" i="159"/>
  <c r="AS17" i="159" s="1"/>
  <c r="AQ18" i="159"/>
  <c r="AS18" i="159" s="1"/>
  <c r="AQ19" i="159"/>
  <c r="AS19" i="159" s="1"/>
  <c r="AQ20" i="159"/>
  <c r="AS20" i="159" s="1"/>
  <c r="AQ21" i="159"/>
  <c r="AS21" i="159" s="1"/>
  <c r="AQ22" i="159"/>
  <c r="AS22" i="159" s="1"/>
  <c r="AQ23" i="159"/>
  <c r="AS23" i="159" s="1"/>
  <c r="AQ11" i="159"/>
  <c r="AS11" i="159" s="1"/>
  <c r="N22" i="124"/>
  <c r="M22" i="124"/>
  <c r="L22" i="124"/>
  <c r="K22" i="124"/>
  <c r="J22" i="124"/>
  <c r="I22" i="124"/>
  <c r="G22" i="124"/>
  <c r="F22" i="124"/>
  <c r="E22" i="124"/>
  <c r="D22" i="124"/>
  <c r="F14" i="103"/>
  <c r="F15" i="103"/>
  <c r="F17" i="103"/>
  <c r="F18" i="103"/>
  <c r="F19" i="103"/>
  <c r="F20" i="103"/>
  <c r="F21" i="103"/>
  <c r="F22" i="103"/>
  <c r="D23" i="103"/>
  <c r="F16" i="103" l="1"/>
  <c r="H22" i="124"/>
  <c r="J12" i="29" l="1"/>
  <c r="J13" i="29"/>
  <c r="J14" i="29"/>
  <c r="J15" i="29"/>
  <c r="J16" i="29"/>
  <c r="J17" i="29"/>
  <c r="J18" i="29"/>
  <c r="J19" i="29"/>
  <c r="J20" i="29"/>
  <c r="J21" i="29"/>
  <c r="J22" i="29"/>
  <c r="J23" i="29"/>
  <c r="H25" i="156"/>
  <c r="M26" i="150"/>
  <c r="L26" i="150"/>
  <c r="G24" i="149"/>
  <c r="G23" i="149"/>
  <c r="G22" i="149"/>
  <c r="G21" i="149"/>
  <c r="G20" i="149"/>
  <c r="G19" i="149"/>
  <c r="G18" i="149"/>
  <c r="G17" i="149"/>
  <c r="G16" i="149"/>
  <c r="G15" i="149"/>
  <c r="G14" i="149"/>
  <c r="G13" i="149"/>
  <c r="C22" i="105"/>
  <c r="L22" i="105"/>
  <c r="L24" i="93"/>
  <c r="K24" i="93"/>
  <c r="J24" i="93"/>
  <c r="I24" i="93"/>
  <c r="H24" i="93"/>
  <c r="G24" i="93"/>
  <c r="F24" i="93"/>
  <c r="G24" i="148" l="1"/>
  <c r="G25" i="149"/>
  <c r="K26" i="150"/>
  <c r="L24" i="47"/>
  <c r="J24" i="29"/>
  <c r="C22" i="132"/>
  <c r="E24" i="138" l="1"/>
  <c r="D24" i="138"/>
  <c r="C24" i="138"/>
  <c r="AL11" i="159"/>
  <c r="AP11" i="159" s="1"/>
  <c r="AL12" i="159"/>
  <c r="AP12" i="159" s="1"/>
  <c r="AL13" i="159"/>
  <c r="AP13" i="159" s="1"/>
  <c r="AL14" i="159"/>
  <c r="AP14" i="159" s="1"/>
  <c r="AL15" i="159"/>
  <c r="AP15" i="159" s="1"/>
  <c r="AL16" i="159"/>
  <c r="AP16" i="159" s="1"/>
  <c r="AL17" i="159"/>
  <c r="AP17" i="159" s="1"/>
  <c r="AL18" i="159"/>
  <c r="AP18" i="159" s="1"/>
  <c r="AL19" i="159"/>
  <c r="AP19" i="159" s="1"/>
  <c r="AL20" i="159"/>
  <c r="AP20" i="159" s="1"/>
  <c r="AL21" i="159"/>
  <c r="AP21" i="159" s="1"/>
  <c r="AL22" i="159"/>
  <c r="AP22" i="159" s="1"/>
  <c r="AL23" i="159"/>
  <c r="AP23" i="159" s="1"/>
  <c r="AL24" i="159"/>
  <c r="AN24" i="159"/>
  <c r="AO24" i="159"/>
  <c r="AQ24" i="159"/>
  <c r="AR24" i="159"/>
  <c r="T24" i="159"/>
  <c r="V24" i="159" s="1"/>
  <c r="P24" i="159"/>
  <c r="R24" i="159" s="1"/>
  <c r="O24" i="159"/>
  <c r="L24" i="159"/>
  <c r="K24" i="159"/>
  <c r="H24" i="159"/>
  <c r="G24" i="159"/>
  <c r="AD23" i="159"/>
  <c r="Z23" i="159"/>
  <c r="V23" i="159"/>
  <c r="R23" i="159"/>
  <c r="N23" i="159"/>
  <c r="J23" i="159"/>
  <c r="F23" i="159"/>
  <c r="AD22" i="159"/>
  <c r="Z22" i="159"/>
  <c r="V22" i="159"/>
  <c r="R22" i="159"/>
  <c r="N22" i="159"/>
  <c r="J22" i="159"/>
  <c r="F22" i="159"/>
  <c r="AD21" i="159"/>
  <c r="Z21" i="159"/>
  <c r="V21" i="159"/>
  <c r="R21" i="159"/>
  <c r="N21" i="159"/>
  <c r="J21" i="159"/>
  <c r="F21" i="159"/>
  <c r="AD20" i="159"/>
  <c r="Z20" i="159"/>
  <c r="V20" i="159"/>
  <c r="R20" i="159"/>
  <c r="N20" i="159"/>
  <c r="J20" i="159"/>
  <c r="F20" i="159"/>
  <c r="AD19" i="159"/>
  <c r="Z19" i="159"/>
  <c r="V19" i="159"/>
  <c r="R19" i="159"/>
  <c r="N19" i="159"/>
  <c r="J19" i="159"/>
  <c r="F19" i="159"/>
  <c r="AD18" i="159"/>
  <c r="Z18" i="159"/>
  <c r="V18" i="159"/>
  <c r="R18" i="159"/>
  <c r="N18" i="159"/>
  <c r="J18" i="159"/>
  <c r="F18" i="159"/>
  <c r="AD17" i="159"/>
  <c r="Z17" i="159"/>
  <c r="V17" i="159"/>
  <c r="R17" i="159"/>
  <c r="N17" i="159"/>
  <c r="J17" i="159"/>
  <c r="F17" i="159"/>
  <c r="AD16" i="159"/>
  <c r="Z16" i="159"/>
  <c r="V16" i="159"/>
  <c r="R16" i="159"/>
  <c r="N16" i="159"/>
  <c r="J16" i="159"/>
  <c r="F16" i="159"/>
  <c r="AD15" i="159"/>
  <c r="Z15" i="159"/>
  <c r="V15" i="159"/>
  <c r="R15" i="159"/>
  <c r="N15" i="159"/>
  <c r="J15" i="159"/>
  <c r="F15" i="159"/>
  <c r="AD14" i="159"/>
  <c r="Z14" i="159"/>
  <c r="V14" i="159"/>
  <c r="R14" i="159"/>
  <c r="N14" i="159"/>
  <c r="J14" i="159"/>
  <c r="F14" i="159"/>
  <c r="AD13" i="159"/>
  <c r="Z13" i="159"/>
  <c r="V13" i="159"/>
  <c r="R13" i="159"/>
  <c r="J13" i="159"/>
  <c r="F13" i="159"/>
  <c r="AD12" i="159"/>
  <c r="Z12" i="159"/>
  <c r="V12" i="159"/>
  <c r="R12" i="159"/>
  <c r="N12" i="159"/>
  <c r="J12" i="159"/>
  <c r="F12" i="159"/>
  <c r="AD11" i="159"/>
  <c r="V11" i="159"/>
  <c r="R11" i="159"/>
  <c r="N11" i="159"/>
  <c r="J11" i="159"/>
  <c r="F11" i="159"/>
  <c r="AS24" i="159" l="1"/>
  <c r="J24" i="159"/>
  <c r="AD24" i="159"/>
  <c r="AS26" i="159"/>
  <c r="AP24" i="159"/>
  <c r="N24" i="159"/>
  <c r="AE13" i="159"/>
  <c r="AE17" i="159"/>
  <c r="AE21" i="159"/>
  <c r="AE14" i="159"/>
  <c r="AE18" i="159"/>
  <c r="AE12" i="159"/>
  <c r="AE16" i="159"/>
  <c r="AE20" i="159"/>
  <c r="AE15" i="159"/>
  <c r="AE19" i="159"/>
  <c r="F24" i="159"/>
  <c r="AE23" i="159"/>
  <c r="AE22" i="159"/>
  <c r="G23" i="103" l="1"/>
  <c r="E23" i="103"/>
  <c r="F23" i="103" s="1"/>
  <c r="I12" i="29"/>
  <c r="I16" i="29"/>
  <c r="F24" i="29"/>
  <c r="E24" i="29"/>
  <c r="D24" i="29"/>
  <c r="C24" i="29"/>
  <c r="I20" i="29" l="1"/>
  <c r="I15" i="29"/>
  <c r="I23" i="29"/>
  <c r="I19" i="29"/>
  <c r="I11" i="29"/>
  <c r="I22" i="29"/>
  <c r="I18" i="29"/>
  <c r="I14" i="29"/>
  <c r="I21" i="29"/>
  <c r="I17" i="29"/>
  <c r="I13" i="29"/>
  <c r="F23" i="28"/>
  <c r="E23" i="28"/>
  <c r="D23" i="28"/>
  <c r="C23" i="28"/>
  <c r="G22" i="28"/>
  <c r="H22" i="28" s="1"/>
  <c r="J22" i="28" s="1"/>
  <c r="G21" i="28"/>
  <c r="H21" i="28" s="1"/>
  <c r="J21" i="28" s="1"/>
  <c r="G20" i="28"/>
  <c r="H20" i="28" s="1"/>
  <c r="J20" i="28" s="1"/>
  <c r="G19" i="28"/>
  <c r="H19" i="28" s="1"/>
  <c r="J19" i="28" s="1"/>
  <c r="G18" i="28"/>
  <c r="H18" i="28" s="1"/>
  <c r="J18" i="28" s="1"/>
  <c r="G17" i="28"/>
  <c r="H17" i="28" s="1"/>
  <c r="J17" i="28" s="1"/>
  <c r="G16" i="28"/>
  <c r="H16" i="28" s="1"/>
  <c r="J16" i="28" s="1"/>
  <c r="G15" i="28"/>
  <c r="H15" i="28" s="1"/>
  <c r="J15" i="28" s="1"/>
  <c r="G14" i="28"/>
  <c r="H14" i="28" s="1"/>
  <c r="J14" i="28" s="1"/>
  <c r="G13" i="28"/>
  <c r="H13" i="28" s="1"/>
  <c r="J13" i="28" s="1"/>
  <c r="G12" i="28"/>
  <c r="H12" i="28" s="1"/>
  <c r="J12" i="28" s="1"/>
  <c r="G11" i="28"/>
  <c r="H11" i="28" s="1"/>
  <c r="J11" i="28" s="1"/>
  <c r="K23" i="158"/>
  <c r="F23" i="158"/>
  <c r="E23" i="158"/>
  <c r="D23" i="158"/>
  <c r="C23" i="158"/>
  <c r="G22" i="158"/>
  <c r="G21" i="158"/>
  <c r="H21" i="158" s="1"/>
  <c r="J21" i="158" s="1"/>
  <c r="G20" i="158"/>
  <c r="H20" i="158" s="1"/>
  <c r="J20" i="158" s="1"/>
  <c r="G19" i="158"/>
  <c r="H19" i="158" s="1"/>
  <c r="J19" i="158" s="1"/>
  <c r="G18" i="158"/>
  <c r="H18" i="158" s="1"/>
  <c r="J18" i="158" s="1"/>
  <c r="G17" i="158"/>
  <c r="H17" i="158" s="1"/>
  <c r="J17" i="158" s="1"/>
  <c r="G16" i="158"/>
  <c r="H16" i="158" s="1"/>
  <c r="J16" i="158" s="1"/>
  <c r="G15" i="158"/>
  <c r="H15" i="158" s="1"/>
  <c r="J15" i="158" s="1"/>
  <c r="G14" i="158"/>
  <c r="H14" i="158" s="1"/>
  <c r="J14" i="158" s="1"/>
  <c r="G13" i="158"/>
  <c r="H13" i="158" s="1"/>
  <c r="J13" i="158" s="1"/>
  <c r="G12" i="158"/>
  <c r="H12" i="158" s="1"/>
  <c r="H22" i="158" l="1"/>
  <c r="H23" i="158" s="1"/>
  <c r="J12" i="158"/>
  <c r="I24" i="29"/>
  <c r="G23" i="158"/>
  <c r="J23" i="28"/>
  <c r="G23" i="28"/>
  <c r="H23" i="28"/>
  <c r="F14" i="157"/>
  <c r="J14" i="157"/>
  <c r="F15" i="157"/>
  <c r="J15" i="157"/>
  <c r="F16" i="157"/>
  <c r="J16" i="157"/>
  <c r="F17" i="157"/>
  <c r="J17" i="157"/>
  <c r="F18" i="157"/>
  <c r="J18" i="157"/>
  <c r="F21" i="157"/>
  <c r="J21" i="157"/>
  <c r="F22" i="157"/>
  <c r="J22" i="157"/>
  <c r="F23" i="157"/>
  <c r="J23" i="157"/>
  <c r="J22" i="158" l="1"/>
  <c r="J23" i="158" s="1"/>
  <c r="P16" i="155"/>
  <c r="P15" i="154"/>
  <c r="P19" i="154"/>
  <c r="P13" i="154"/>
  <c r="P20" i="155" l="1"/>
  <c r="P22" i="155"/>
  <c r="P14" i="155"/>
  <c r="P24" i="155"/>
  <c r="P25" i="155"/>
  <c r="P24" i="154"/>
  <c r="P22" i="154"/>
  <c r="P20" i="154"/>
  <c r="P18" i="154"/>
  <c r="P16" i="154"/>
  <c r="P14" i="154"/>
  <c r="P15" i="155"/>
  <c r="P23" i="155"/>
  <c r="P25" i="154"/>
  <c r="P21" i="154"/>
  <c r="P23" i="154"/>
  <c r="P17" i="154"/>
  <c r="P13" i="155"/>
  <c r="P17" i="155"/>
  <c r="P19" i="155"/>
  <c r="P18" i="155"/>
  <c r="P21" i="155"/>
  <c r="O19" i="153"/>
  <c r="N25" i="153"/>
  <c r="N24" i="153"/>
  <c r="N23" i="153"/>
  <c r="N22" i="153"/>
  <c r="N21" i="153"/>
  <c r="N20" i="153"/>
  <c r="N19" i="153"/>
  <c r="N18" i="153"/>
  <c r="N17" i="153"/>
  <c r="N16" i="153"/>
  <c r="N15" i="153"/>
  <c r="N14" i="153"/>
  <c r="N13" i="153"/>
  <c r="G25" i="147"/>
  <c r="D25" i="147"/>
  <c r="R14" i="78"/>
  <c r="N14" i="78"/>
  <c r="F14" i="78"/>
  <c r="J14" i="78"/>
  <c r="J13" i="142"/>
  <c r="H13" i="142"/>
  <c r="F13" i="142"/>
  <c r="B13" i="142"/>
  <c r="P26" i="154" l="1"/>
  <c r="P26" i="155"/>
  <c r="N26" i="153"/>
  <c r="V20" i="78"/>
  <c r="R20" i="78"/>
  <c r="N20" i="78"/>
  <c r="J20" i="78"/>
  <c r="F20" i="78"/>
  <c r="P24" i="47" l="1"/>
  <c r="N24" i="47"/>
  <c r="M24" i="47"/>
  <c r="J24" i="47"/>
  <c r="I24" i="47"/>
  <c r="H24" i="47"/>
  <c r="G24" i="47"/>
  <c r="F24" i="47"/>
  <c r="E24" i="47"/>
  <c r="D24" i="47"/>
  <c r="C24" i="47"/>
  <c r="H11" i="100" l="1"/>
  <c r="H13" i="100"/>
  <c r="H14" i="100"/>
  <c r="N25" i="1"/>
  <c r="G25" i="156"/>
  <c r="E25" i="156"/>
  <c r="D25" i="156"/>
  <c r="R25" i="155"/>
  <c r="Q25" i="155"/>
  <c r="M25" i="155"/>
  <c r="J25" i="155"/>
  <c r="F25" i="155"/>
  <c r="E25" i="155"/>
  <c r="R24" i="155"/>
  <c r="Q24" i="155"/>
  <c r="M24" i="155"/>
  <c r="J24" i="155"/>
  <c r="F24" i="155"/>
  <c r="E24" i="155"/>
  <c r="R23" i="155"/>
  <c r="Q23" i="155"/>
  <c r="M23" i="155"/>
  <c r="J23" i="155"/>
  <c r="F23" i="155"/>
  <c r="E23" i="155"/>
  <c r="R22" i="155"/>
  <c r="Q22" i="155"/>
  <c r="M22" i="155"/>
  <c r="J22" i="155"/>
  <c r="F22" i="155"/>
  <c r="E22" i="155"/>
  <c r="R21" i="155"/>
  <c r="Q21" i="155"/>
  <c r="M21" i="155"/>
  <c r="J21" i="155"/>
  <c r="F21" i="155"/>
  <c r="E21" i="155"/>
  <c r="R20" i="155"/>
  <c r="Q20" i="155"/>
  <c r="M20" i="155"/>
  <c r="J20" i="155"/>
  <c r="F20" i="155"/>
  <c r="E20" i="155"/>
  <c r="R19" i="155"/>
  <c r="Q19" i="155"/>
  <c r="M19" i="155"/>
  <c r="J19" i="155"/>
  <c r="F19" i="155"/>
  <c r="E19" i="155"/>
  <c r="R18" i="155"/>
  <c r="Q18" i="155"/>
  <c r="M18" i="155"/>
  <c r="J18" i="155"/>
  <c r="F18" i="155"/>
  <c r="R17" i="155"/>
  <c r="Q17" i="155"/>
  <c r="M17" i="155"/>
  <c r="J17" i="155"/>
  <c r="F17" i="155"/>
  <c r="E17" i="155"/>
  <c r="R16" i="155"/>
  <c r="Q16" i="155"/>
  <c r="M16" i="155"/>
  <c r="J16" i="155"/>
  <c r="F16" i="155"/>
  <c r="E16" i="155"/>
  <c r="R15" i="155"/>
  <c r="Q15" i="155"/>
  <c r="M15" i="155"/>
  <c r="J15" i="155"/>
  <c r="F15" i="155"/>
  <c r="E15" i="155"/>
  <c r="R14" i="155"/>
  <c r="Q14" i="155"/>
  <c r="M14" i="155"/>
  <c r="J14" i="155"/>
  <c r="F14" i="155"/>
  <c r="E14" i="155"/>
  <c r="R13" i="155"/>
  <c r="Q13" i="155"/>
  <c r="Q26" i="155" s="1"/>
  <c r="M13" i="155"/>
  <c r="J13" i="155"/>
  <c r="V26" i="154"/>
  <c r="U26" i="154"/>
  <c r="T26" i="154"/>
  <c r="R25" i="154"/>
  <c r="Q25" i="154"/>
  <c r="M25" i="154"/>
  <c r="J25" i="154"/>
  <c r="R24" i="154"/>
  <c r="Q24" i="154"/>
  <c r="M24" i="154"/>
  <c r="J24" i="154"/>
  <c r="R23" i="154"/>
  <c r="Q23" i="154"/>
  <c r="M23" i="154"/>
  <c r="J23" i="154"/>
  <c r="R22" i="154"/>
  <c r="Q22" i="154"/>
  <c r="M22" i="154"/>
  <c r="J22" i="154"/>
  <c r="R21" i="154"/>
  <c r="Q21" i="154"/>
  <c r="M21" i="154"/>
  <c r="J21" i="154"/>
  <c r="R20" i="154"/>
  <c r="Q20" i="154"/>
  <c r="M20" i="154"/>
  <c r="J20" i="154"/>
  <c r="R19" i="154"/>
  <c r="Q19" i="154"/>
  <c r="M19" i="154"/>
  <c r="J19" i="154"/>
  <c r="R18" i="154"/>
  <c r="Q18" i="154"/>
  <c r="M18" i="154"/>
  <c r="J18" i="154"/>
  <c r="R17" i="154"/>
  <c r="Q17" i="154"/>
  <c r="M17" i="154"/>
  <c r="J17" i="154"/>
  <c r="R16" i="154"/>
  <c r="Q16" i="154"/>
  <c r="M16" i="154"/>
  <c r="J16" i="154"/>
  <c r="R15" i="154"/>
  <c r="Q15" i="154"/>
  <c r="M15" i="154"/>
  <c r="J15" i="154"/>
  <c r="R14" i="154"/>
  <c r="Q14" i="154"/>
  <c r="Q26" i="154" s="1"/>
  <c r="M14" i="154"/>
  <c r="J14" i="154"/>
  <c r="R13" i="154"/>
  <c r="R26" i="154" s="1"/>
  <c r="M13" i="154"/>
  <c r="J13" i="154"/>
  <c r="J26" i="154" s="1"/>
  <c r="P25" i="153"/>
  <c r="O25" i="153"/>
  <c r="K25" i="153"/>
  <c r="H25" i="153"/>
  <c r="P24" i="153"/>
  <c r="O24" i="153"/>
  <c r="K24" i="153"/>
  <c r="H24" i="153"/>
  <c r="P23" i="153"/>
  <c r="O23" i="153"/>
  <c r="K23" i="153"/>
  <c r="H23" i="153"/>
  <c r="P22" i="153"/>
  <c r="O22" i="153"/>
  <c r="K22" i="153"/>
  <c r="H22" i="153"/>
  <c r="P21" i="153"/>
  <c r="O21" i="153"/>
  <c r="K21" i="153"/>
  <c r="H21" i="153"/>
  <c r="P20" i="153"/>
  <c r="O20" i="153"/>
  <c r="K20" i="153"/>
  <c r="H20" i="153"/>
  <c r="P19" i="153"/>
  <c r="K19" i="153"/>
  <c r="H19" i="153"/>
  <c r="P18" i="153"/>
  <c r="O18" i="153"/>
  <c r="K18" i="153"/>
  <c r="H18" i="153"/>
  <c r="P17" i="153"/>
  <c r="O17" i="153"/>
  <c r="K17" i="153"/>
  <c r="H17" i="153"/>
  <c r="P16" i="153"/>
  <c r="O16" i="153"/>
  <c r="K16" i="153"/>
  <c r="H16" i="153"/>
  <c r="P15" i="153"/>
  <c r="O15" i="153"/>
  <c r="K15" i="153"/>
  <c r="H15" i="153"/>
  <c r="E15" i="153"/>
  <c r="E26" i="153" s="1"/>
  <c r="P14" i="153"/>
  <c r="O14" i="153"/>
  <c r="K14" i="153"/>
  <c r="H14" i="153"/>
  <c r="P13" i="153"/>
  <c r="K13" i="153"/>
  <c r="H13" i="153"/>
  <c r="K26" i="152"/>
  <c r="H26" i="152"/>
  <c r="E26" i="152"/>
  <c r="K25" i="152"/>
  <c r="H25" i="152"/>
  <c r="Q25" i="152" s="1"/>
  <c r="E25" i="152"/>
  <c r="K24" i="152"/>
  <c r="H24" i="152"/>
  <c r="E24" i="152"/>
  <c r="K23" i="152"/>
  <c r="H23" i="152"/>
  <c r="E23" i="152"/>
  <c r="K22" i="152"/>
  <c r="H22" i="152"/>
  <c r="E22" i="152"/>
  <c r="K21" i="152"/>
  <c r="H21" i="152"/>
  <c r="Q21" i="152" s="1"/>
  <c r="E21" i="152"/>
  <c r="K20" i="152"/>
  <c r="H20" i="152"/>
  <c r="E20" i="152"/>
  <c r="K19" i="152"/>
  <c r="H19" i="152"/>
  <c r="E19" i="152"/>
  <c r="K18" i="152"/>
  <c r="H18" i="152"/>
  <c r="E18" i="152"/>
  <c r="K17" i="152"/>
  <c r="H17" i="152"/>
  <c r="Q17" i="152" s="1"/>
  <c r="E17" i="152"/>
  <c r="K16" i="152"/>
  <c r="H16" i="152"/>
  <c r="E16" i="152"/>
  <c r="K15" i="152"/>
  <c r="H15" i="152"/>
  <c r="E15" i="152"/>
  <c r="K14" i="152"/>
  <c r="H14" i="152"/>
  <c r="E14" i="152"/>
  <c r="L25" i="149"/>
  <c r="K25" i="149"/>
  <c r="J25" i="149"/>
  <c r="I25" i="149"/>
  <c r="C25" i="147"/>
  <c r="C25" i="146"/>
  <c r="H25" i="143"/>
  <c r="P22" i="143"/>
  <c r="P21" i="143"/>
  <c r="Q20" i="143"/>
  <c r="P19" i="143"/>
  <c r="P18" i="143"/>
  <c r="Q18" i="143" s="1"/>
  <c r="P17" i="143"/>
  <c r="P16" i="143"/>
  <c r="P15" i="143"/>
  <c r="P14" i="143"/>
  <c r="P13" i="143"/>
  <c r="P12" i="143"/>
  <c r="K30" i="142"/>
  <c r="I30" i="142"/>
  <c r="AD12" i="78"/>
  <c r="AD13" i="78"/>
  <c r="AD14" i="78"/>
  <c r="AD15" i="78"/>
  <c r="AD16" i="78"/>
  <c r="AD17" i="78"/>
  <c r="AD18" i="78"/>
  <c r="AD19" i="78"/>
  <c r="AD20" i="78"/>
  <c r="AD21" i="78"/>
  <c r="AD22" i="78"/>
  <c r="AD23" i="78"/>
  <c r="AD24" i="78"/>
  <c r="AD11" i="78"/>
  <c r="Z12" i="78"/>
  <c r="Z13" i="78"/>
  <c r="Z14" i="78"/>
  <c r="Z15" i="78"/>
  <c r="Z16" i="78"/>
  <c r="Z17" i="78"/>
  <c r="Z18" i="78"/>
  <c r="Z19" i="78"/>
  <c r="Z20" i="78"/>
  <c r="Z21" i="78"/>
  <c r="Z22" i="78"/>
  <c r="Z23" i="78"/>
  <c r="Z24" i="78"/>
  <c r="Z11" i="78"/>
  <c r="V12" i="78"/>
  <c r="V13" i="78"/>
  <c r="V14" i="78"/>
  <c r="V15" i="78"/>
  <c r="V16" i="78"/>
  <c r="V17" i="78"/>
  <c r="V18" i="78"/>
  <c r="V19" i="78"/>
  <c r="V21" i="78"/>
  <c r="V22" i="78"/>
  <c r="V23" i="78"/>
  <c r="V11" i="78"/>
  <c r="R17" i="78"/>
  <c r="R23" i="78"/>
  <c r="R22" i="78"/>
  <c r="R21" i="78"/>
  <c r="R19" i="78"/>
  <c r="R18" i="78"/>
  <c r="R16" i="78"/>
  <c r="R15" i="78"/>
  <c r="R13" i="78"/>
  <c r="R12" i="78"/>
  <c r="R11" i="78"/>
  <c r="N23" i="78"/>
  <c r="N22" i="78"/>
  <c r="N21" i="78"/>
  <c r="N19" i="78"/>
  <c r="N18" i="78"/>
  <c r="N17" i="78"/>
  <c r="N16" i="78"/>
  <c r="N15" i="78"/>
  <c r="N13" i="78"/>
  <c r="N12" i="78"/>
  <c r="N11" i="78"/>
  <c r="J23" i="78"/>
  <c r="J22" i="78"/>
  <c r="J21" i="78"/>
  <c r="J19" i="78"/>
  <c r="J18" i="78"/>
  <c r="J17" i="78"/>
  <c r="J16" i="78"/>
  <c r="J15" i="78"/>
  <c r="J13" i="78"/>
  <c r="J12" i="78"/>
  <c r="J11" i="78"/>
  <c r="F12" i="78"/>
  <c r="F13" i="78"/>
  <c r="F15" i="78"/>
  <c r="F16" i="78"/>
  <c r="F17" i="78"/>
  <c r="F18" i="78"/>
  <c r="F19" i="78"/>
  <c r="F21" i="78"/>
  <c r="F22" i="78"/>
  <c r="F23" i="78"/>
  <c r="F11" i="78"/>
  <c r="Q15" i="152" l="1"/>
  <c r="Q19" i="152"/>
  <c r="Q23" i="152"/>
  <c r="Q18" i="152"/>
  <c r="Q22" i="152"/>
  <c r="Q26" i="152"/>
  <c r="P26" i="153"/>
  <c r="O26" i="153"/>
  <c r="E27" i="152"/>
  <c r="Q14" i="152"/>
  <c r="H27" i="152"/>
  <c r="K26" i="153"/>
  <c r="M26" i="154"/>
  <c r="R26" i="155"/>
  <c r="J26" i="155"/>
  <c r="E26" i="155"/>
  <c r="H26" i="153"/>
  <c r="K27" i="152"/>
  <c r="Q16" i="152"/>
  <c r="Q20" i="152"/>
  <c r="Q24" i="152"/>
  <c r="M26" i="155"/>
  <c r="F26" i="155"/>
  <c r="AE16" i="78"/>
  <c r="AE21" i="78"/>
  <c r="S21" i="155"/>
  <c r="G19" i="155"/>
  <c r="S19" i="155"/>
  <c r="G20" i="155"/>
  <c r="S15" i="155"/>
  <c r="S20" i="155"/>
  <c r="S22" i="155"/>
  <c r="G25" i="155"/>
  <c r="G16" i="155"/>
  <c r="G14" i="154"/>
  <c r="S15" i="154"/>
  <c r="G16" i="154"/>
  <c r="S21" i="154"/>
  <c r="G22" i="154"/>
  <c r="S23" i="154"/>
  <c r="G24" i="154"/>
  <c r="S25" i="154"/>
  <c r="G21" i="154"/>
  <c r="G17" i="154"/>
  <c r="G20" i="154"/>
  <c r="F24" i="78"/>
  <c r="G15" i="154"/>
  <c r="S14" i="155"/>
  <c r="G15" i="155"/>
  <c r="S16" i="155"/>
  <c r="S18" i="155"/>
  <c r="G19" i="154"/>
  <c r="G23" i="155"/>
  <c r="AE14" i="78"/>
  <c r="AE20" i="78"/>
  <c r="S17" i="154"/>
  <c r="G18" i="154"/>
  <c r="S19" i="154"/>
  <c r="G23" i="154"/>
  <c r="G25" i="154"/>
  <c r="S17" i="155"/>
  <c r="S23" i="155"/>
  <c r="G24" i="155"/>
  <c r="Q18" i="153"/>
  <c r="Q23" i="153"/>
  <c r="Q16" i="153"/>
  <c r="Q21" i="153"/>
  <c r="Q25" i="153"/>
  <c r="S25" i="155"/>
  <c r="Q13" i="153"/>
  <c r="Q17" i="153"/>
  <c r="Q22" i="153"/>
  <c r="S16" i="154"/>
  <c r="S20" i="154"/>
  <c r="S24" i="154"/>
  <c r="G14" i="155"/>
  <c r="G17" i="155"/>
  <c r="G22" i="155"/>
  <c r="S24" i="155"/>
  <c r="H17" i="100"/>
  <c r="Q15" i="153"/>
  <c r="Q19" i="153"/>
  <c r="Q20" i="153"/>
  <c r="Q24" i="153"/>
  <c r="S14" i="154"/>
  <c r="S18" i="154"/>
  <c r="S22" i="154"/>
  <c r="G13" i="155"/>
  <c r="G18" i="155"/>
  <c r="G21" i="155"/>
  <c r="H21" i="100"/>
  <c r="H16" i="100"/>
  <c r="H20" i="100"/>
  <c r="H15" i="100"/>
  <c r="H19" i="100"/>
  <c r="AE22" i="78"/>
  <c r="AE12" i="78"/>
  <c r="AE23" i="78"/>
  <c r="AE13" i="78"/>
  <c r="AE11" i="78"/>
  <c r="AE19" i="78"/>
  <c r="AE15" i="78"/>
  <c r="AE17" i="78"/>
  <c r="AE18" i="78"/>
  <c r="H12" i="100"/>
  <c r="H18" i="100"/>
  <c r="I25" i="156"/>
  <c r="Q14" i="153"/>
  <c r="S13" i="154"/>
  <c r="S13" i="155"/>
  <c r="S26" i="155" l="1"/>
  <c r="S26" i="154"/>
  <c r="G26" i="155"/>
  <c r="G26" i="154"/>
  <c r="Q26" i="153"/>
  <c r="Q27" i="152"/>
  <c r="H22" i="100"/>
  <c r="T24" i="78"/>
  <c r="V24" i="78" s="1"/>
  <c r="P24" i="78"/>
  <c r="R24" i="78" s="1"/>
  <c r="O24" i="78"/>
  <c r="N24" i="78"/>
  <c r="L24" i="78"/>
  <c r="K24" i="78"/>
  <c r="H24" i="78"/>
  <c r="G24" i="78"/>
  <c r="D24" i="78"/>
  <c r="C24" i="78"/>
  <c r="U28" i="155" l="1"/>
  <c r="AE24" i="78"/>
  <c r="H28" i="96"/>
  <c r="U26" i="96"/>
  <c r="U25" i="96"/>
  <c r="T25" i="96"/>
  <c r="S19" i="96"/>
  <c r="T20" i="96"/>
  <c r="U19" i="96"/>
  <c r="T18" i="96"/>
  <c r="S18" i="96"/>
  <c r="U16" i="96"/>
  <c r="F28" i="96"/>
  <c r="M28" i="96"/>
  <c r="J28" i="96"/>
  <c r="N28" i="96"/>
  <c r="N21" i="96"/>
  <c r="M21" i="96"/>
  <c r="M33" i="96" s="1"/>
  <c r="J21" i="96"/>
  <c r="F21" i="96"/>
  <c r="F33" i="96" s="1"/>
  <c r="K16" i="99"/>
  <c r="N33" i="96" l="1"/>
  <c r="J33" i="96"/>
  <c r="G21" i="96"/>
  <c r="S20" i="96"/>
  <c r="R21" i="96"/>
  <c r="U27" i="96"/>
  <c r="S16" i="96"/>
  <c r="U18" i="96"/>
  <c r="S26" i="96"/>
  <c r="I21" i="96"/>
  <c r="K21" i="96"/>
  <c r="Q21" i="96"/>
  <c r="T16" i="96"/>
  <c r="U17" i="96"/>
  <c r="T19" i="96"/>
  <c r="V19" i="96" s="1"/>
  <c r="U20" i="96"/>
  <c r="U23" i="96"/>
  <c r="S25" i="96"/>
  <c r="V25" i="96" s="1"/>
  <c r="T26" i="96"/>
  <c r="V18" i="96"/>
  <c r="O21" i="96"/>
  <c r="P21" i="96"/>
  <c r="T24" i="96"/>
  <c r="T23" i="96"/>
  <c r="K17" i="99"/>
  <c r="D21" i="96"/>
  <c r="D28" i="96"/>
  <c r="E28" i="96"/>
  <c r="T17" i="96"/>
  <c r="U24" i="96"/>
  <c r="E21" i="96"/>
  <c r="K28" i="96"/>
  <c r="I28" i="96"/>
  <c r="S23" i="96"/>
  <c r="H21" i="96"/>
  <c r="H33" i="96" s="1"/>
  <c r="S24" i="96"/>
  <c r="G28" i="96"/>
  <c r="T27" i="96"/>
  <c r="S27" i="96"/>
  <c r="Q28" i="96"/>
  <c r="L28" i="96"/>
  <c r="L21" i="96"/>
  <c r="R28" i="96"/>
  <c r="D33" i="96" l="1"/>
  <c r="K33" i="96"/>
  <c r="G33" i="96"/>
  <c r="I33" i="96"/>
  <c r="R33" i="96"/>
  <c r="Q33" i="96"/>
  <c r="U21" i="96"/>
  <c r="E33" i="96"/>
  <c r="S21" i="96"/>
  <c r="L33" i="96"/>
  <c r="U28" i="96"/>
  <c r="V26" i="96"/>
  <c r="V17" i="96"/>
  <c r="V20" i="96"/>
  <c r="V24" i="96"/>
  <c r="T28" i="96"/>
  <c r="T21" i="96"/>
  <c r="V16" i="96"/>
  <c r="O28" i="96"/>
  <c r="O33" i="96" s="1"/>
  <c r="V23" i="96"/>
  <c r="P28" i="96"/>
  <c r="P33" i="96" s="1"/>
  <c r="V27" i="96"/>
  <c r="S28" i="96"/>
  <c r="H25" i="147"/>
  <c r="Z24" i="159"/>
  <c r="AE11" i="159"/>
  <c r="AE24" i="159" s="1"/>
  <c r="V28" i="96" l="1"/>
  <c r="U33" i="96"/>
  <c r="S33" i="96"/>
  <c r="T33" i="96"/>
  <c r="V21" i="96"/>
  <c r="AK27" i="159"/>
  <c r="V33" i="96" l="1"/>
</calcChain>
</file>

<file path=xl/sharedStrings.xml><?xml version="1.0" encoding="utf-8"?>
<sst xmlns="http://schemas.openxmlformats.org/spreadsheetml/2006/main" count="3746" uniqueCount="1017">
  <si>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</si>
  <si>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</si>
  <si>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</si>
  <si>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</si>
  <si>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</si>
  <si>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</si>
  <si>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</si>
  <si>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</si>
  <si>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</si>
  <si>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</si>
  <si>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</si>
  <si>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</si>
  <si>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</si>
  <si>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</si>
  <si>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</si>
  <si>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</si>
  <si>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</si>
  <si>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</si>
  <si>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</si>
  <si>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</si>
  <si>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</si>
  <si>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</si>
  <si>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</si>
  <si>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</si>
  <si>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</si>
  <si>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</si>
  <si>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</si>
  <si>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</si>
  <si>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</si>
  <si>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</si>
  <si>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</si>
  <si>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</si>
  <si>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</si>
  <si>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</si>
  <si>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</si>
  <si>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</si>
  <si>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</si>
  <si>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</si>
  <si>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</si>
  <si>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</si>
  <si>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</si>
  <si>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</si>
  <si>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</si>
  <si>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</si>
  <si>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</si>
  <si>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</si>
  <si>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</si>
  <si>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</si>
  <si>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</si>
  <si>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</si>
  <si>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</si>
  <si>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</si>
  <si>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</si>
  <si>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</si>
  <si>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</si>
  <si>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</si>
  <si>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</si>
  <si>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</si>
  <si>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</si>
  <si>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</si>
  <si>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</si>
  <si>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</si>
  <si>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</si>
  <si>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</si>
  <si>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</si>
  <si>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</si>
  <si>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</si>
  <si>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</si>
  <si>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</si>
  <si>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</si>
  <si>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</si>
  <si>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</si>
  <si>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</si>
  <si>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</si>
  <si>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</si>
  <si>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</si>
  <si>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</si>
  <si>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</si>
  <si>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</si>
  <si>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</si>
  <si>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</si>
  <si>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</si>
  <si>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</si>
  <si>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</si>
  <si>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</si>
  <si>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</si>
  <si>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</si>
  <si>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</si>
  <si>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</si>
  <si>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</si>
  <si>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</si>
  <si>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</si>
  <si>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</si>
  <si>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</si>
  <si>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</si>
  <si>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</si>
  <si>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</si>
  <si>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</si>
  <si>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</si>
  <si>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</si>
  <si>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</si>
  <si>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</si>
  <si>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</si>
  <si>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</si>
  <si>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</si>
  <si>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</si>
  <si>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</si>
  <si>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>*Rice</t>
  </si>
  <si>
    <t>*Wheat</t>
  </si>
  <si>
    <t>Total            (col 3+4+5+6)</t>
  </si>
  <si>
    <t>Total       (col.8+9+10+11)</t>
  </si>
  <si>
    <t>Total       (col.13+14+15+16)</t>
  </si>
  <si>
    <t>SHG</t>
  </si>
  <si>
    <t>NGO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</si>
  <si>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</si>
  <si>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</si>
  <si>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</si>
  <si>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</si>
  <si>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</si>
  <si>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</si>
  <si>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</si>
  <si>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</si>
  <si>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</si>
  <si>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</si>
  <si>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</si>
  <si>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</si>
  <si>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</si>
  <si>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</si>
  <si>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</si>
  <si>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</si>
  <si>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</si>
  <si>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</si>
  <si>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</si>
  <si>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</si>
  <si>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</si>
  <si>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</si>
  <si>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</si>
  <si>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</si>
  <si>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</si>
  <si>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</si>
  <si>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</si>
  <si>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</si>
  <si>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</si>
  <si>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</si>
  <si>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</si>
  <si>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</si>
  <si>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</si>
  <si>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</si>
  <si>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</si>
  <si>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</si>
  <si>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Gram Panchayat / School*</t>
  </si>
  <si>
    <t>District*</t>
  </si>
  <si>
    <t>Youth Club of NYK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</si>
  <si>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</si>
  <si>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</si>
  <si>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</si>
  <si>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</si>
  <si>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</si>
  <si>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</si>
  <si>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</si>
  <si>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</si>
  <si>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</si>
  <si>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</si>
  <si>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</si>
  <si>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</si>
  <si>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*Total </t>
  </si>
  <si>
    <t xml:space="preserve">Cost of foodgrains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</si>
  <si>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</si>
  <si>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</si>
  <si>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</si>
  <si>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</si>
  <si>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</si>
  <si>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</si>
  <si>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</si>
  <si>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</si>
  <si>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</si>
  <si>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</si>
  <si>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</si>
  <si>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</si>
  <si>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</si>
  <si>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</si>
  <si>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</si>
  <si>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</si>
  <si>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</si>
  <si>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</si>
  <si>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</si>
  <si>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</si>
  <si>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</si>
  <si>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</si>
  <si>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</si>
  <si>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</si>
  <si>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</si>
  <si>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</si>
  <si>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</si>
  <si>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</si>
  <si>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</si>
  <si>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</si>
  <si>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</si>
  <si>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</si>
  <si>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</si>
  <si>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</si>
  <si>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</si>
  <si>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</si>
  <si>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</si>
  <si>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</si>
  <si>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</si>
  <si>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</si>
  <si>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</si>
  <si>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</si>
  <si>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</si>
  <si>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</si>
  <si>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</si>
  <si>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</si>
  <si>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</si>
  <si>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</si>
  <si>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</si>
  <si>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</si>
  <si>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</si>
  <si>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</si>
  <si>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</si>
  <si>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</si>
  <si>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</si>
  <si>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</si>
  <si>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</si>
  <si>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</si>
  <si>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</si>
  <si>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</si>
  <si>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</si>
  <si>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</si>
  <si>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</si>
  <si>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</si>
  <si>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</si>
  <si>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</si>
  <si>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</si>
  <si>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</si>
  <si>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</si>
  <si>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</si>
  <si>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</si>
  <si>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</si>
  <si>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</si>
  <si>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</si>
  <si>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</si>
  <si>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</si>
  <si>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</si>
  <si>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</si>
  <si>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</si>
  <si>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</si>
  <si>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</si>
  <si>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</si>
  <si>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</si>
  <si>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</si>
  <si>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</si>
  <si>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</si>
  <si>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</si>
  <si>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</si>
  <si>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</si>
  <si>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</si>
  <si>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</si>
  <si>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</si>
  <si>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</si>
  <si>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</si>
  <si>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</si>
  <si>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</si>
  <si>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</si>
  <si>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</si>
  <si>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</si>
  <si>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</si>
  <si>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</si>
  <si>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</si>
  <si>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</si>
  <si>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</si>
  <si>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</si>
  <si>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</si>
  <si>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</si>
  <si>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</si>
  <si>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</si>
  <si>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</si>
  <si>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</si>
  <si>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</si>
  <si>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</si>
  <si>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</si>
  <si>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</si>
  <si>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</si>
  <si>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</si>
  <si>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</si>
  <si>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</si>
  <si>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</si>
  <si>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</si>
  <si>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</si>
  <si>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</si>
  <si>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</si>
  <si>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</si>
  <si>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</si>
  <si>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</si>
  <si>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</si>
  <si>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</si>
  <si>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</si>
  <si>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</si>
  <si>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</si>
  <si>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</si>
  <si>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</si>
  <si>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</si>
  <si>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</si>
  <si>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</si>
  <si>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</si>
  <si>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</si>
  <si>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</si>
  <si>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</si>
  <si>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</si>
  <si>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</si>
  <si>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</si>
  <si>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</si>
  <si>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</si>
  <si>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</si>
  <si>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</si>
  <si>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</si>
  <si>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</si>
  <si>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</si>
  <si>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</si>
  <si>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</si>
  <si>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</si>
  <si>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</si>
  <si>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</si>
  <si>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</si>
  <si>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</si>
  <si>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</si>
  <si>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</si>
  <si>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</si>
  <si>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</si>
  <si>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</si>
  <si>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</si>
  <si>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</si>
  <si>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</si>
  <si>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</si>
  <si>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</si>
  <si>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</si>
  <si>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</si>
  <si>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</si>
  <si>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</si>
  <si>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</si>
  <si>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</si>
  <si>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</si>
  <si>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</si>
  <si>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</si>
  <si>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</si>
  <si>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</si>
  <si>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t xml:space="preserve">Closing Balance**                 (col.4+5-6)                         </t>
  </si>
  <si>
    <t xml:space="preserve">Closing Balance**  (col.9+10-11)                         </t>
  </si>
  <si>
    <t xml:space="preserve">Closing Balance**                  (col.4+5-6)                         </t>
  </si>
  <si>
    <t xml:space="preserve">Closing Balance** (col.9+10-11)                         </t>
  </si>
  <si>
    <t>**state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</si>
  <si>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</si>
  <si>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</si>
  <si>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</si>
  <si>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</si>
  <si>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</si>
  <si>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</si>
  <si>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</si>
  <si>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</si>
  <si>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</si>
  <si>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</si>
  <si>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</si>
  <si>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</si>
  <si>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</si>
  <si>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</si>
  <si>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</si>
  <si>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</si>
  <si>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</si>
  <si>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</si>
  <si>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</si>
  <si>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</si>
  <si>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</si>
  <si>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</si>
  <si>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</si>
  <si>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</si>
  <si>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</si>
  <si>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</si>
  <si>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</si>
  <si>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</si>
  <si>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</si>
  <si>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</si>
  <si>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</si>
  <si>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</si>
  <si>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</si>
  <si>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</si>
  <si>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</si>
  <si>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</si>
  <si>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</si>
  <si>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</si>
  <si>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</si>
  <si>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</si>
  <si>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</si>
  <si>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</si>
  <si>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</si>
  <si>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</si>
  <si>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</si>
  <si>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</si>
  <si>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</si>
  <si>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</si>
  <si>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</si>
  <si>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</si>
  <si>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</si>
  <si>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</si>
  <si>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</si>
  <si>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</si>
  <si>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</si>
  <si>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</si>
  <si>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</si>
  <si>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</si>
  <si>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</si>
  <si>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</si>
  <si>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</si>
  <si>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</si>
  <si>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</si>
  <si>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>Table: AT-5 D</t>
  </si>
  <si>
    <t>Reasons for Less payment Col. (7-9)</t>
  </si>
  <si>
    <t>Table: AT-6C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</si>
  <si>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</si>
  <si>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</si>
  <si>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</si>
  <si>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</si>
  <si>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*Coarse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</si>
  <si>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</si>
  <si>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</si>
  <si>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</si>
  <si>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</si>
  <si>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</si>
  <si>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</si>
  <si>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</si>
  <si>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</si>
  <si>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</si>
  <si>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</si>
  <si>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</si>
  <si>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</si>
  <si>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</si>
  <si>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</si>
  <si>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</si>
  <si>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</si>
  <si>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</si>
  <si>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</si>
  <si>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</si>
  <si>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</si>
  <si>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</si>
  <si>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</si>
  <si>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</si>
  <si>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</si>
  <si>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</si>
  <si>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</si>
  <si>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</si>
  <si>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</si>
  <si>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</si>
  <si>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</si>
  <si>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</si>
  <si>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</si>
  <si>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</si>
  <si>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</si>
  <si>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</si>
  <si>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</si>
  <si>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</si>
  <si>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</si>
  <si>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</si>
  <si>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</si>
  <si>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</si>
  <si>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</si>
  <si>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</si>
  <si>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</si>
  <si>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</si>
  <si>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</si>
  <si>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</si>
  <si>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</si>
  <si>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</si>
  <si>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</si>
  <si>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</si>
  <si>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</si>
  <si>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</si>
  <si>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</si>
  <si>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</si>
  <si>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</si>
  <si>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</si>
  <si>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</si>
  <si>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</si>
  <si>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</si>
  <si>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</si>
  <si>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</si>
  <si>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</si>
  <si>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</si>
  <si>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</si>
  <si>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</si>
  <si>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</si>
  <si>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</si>
  <si>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</si>
  <si>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</si>
  <si>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</si>
  <si>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Annual Work Plan and Budget 2017-18</t>
  </si>
  <si>
    <t>2017-18</t>
  </si>
  <si>
    <t>Allocation for  2016-17</t>
  </si>
  <si>
    <t>*Total sanctioned during 2006-07  to 2016-17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</si>
  <si>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</si>
  <si>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</si>
  <si>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</si>
  <si>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</si>
  <si>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</si>
  <si>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</si>
  <si>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</si>
  <si>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</si>
  <si>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</si>
  <si>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</si>
  <si>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</si>
  <si>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</si>
  <si>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</si>
  <si>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</si>
  <si>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</si>
  <si>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</si>
  <si>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</si>
  <si>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</si>
  <si>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</si>
  <si>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</si>
  <si>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</si>
  <si>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</si>
  <si>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</si>
  <si>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April,17</t>
  </si>
  <si>
    <t>May,17</t>
  </si>
  <si>
    <t>June,17</t>
  </si>
  <si>
    <t>July,17</t>
  </si>
  <si>
    <t>August,17</t>
  </si>
  <si>
    <t>September,17</t>
  </si>
  <si>
    <t>October,17</t>
  </si>
  <si>
    <t>November,17</t>
  </si>
  <si>
    <t>December,17</t>
  </si>
  <si>
    <t>January,18</t>
  </si>
  <si>
    <t>February,18</t>
  </si>
  <si>
    <t>March,18</t>
  </si>
  <si>
    <t>Table: AT-26 A</t>
  </si>
  <si>
    <t>Table: AT-27</t>
  </si>
  <si>
    <t>Table: AT-27 D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</si>
  <si>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</si>
  <si>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</si>
  <si>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</si>
  <si>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</si>
  <si>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</si>
  <si>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</si>
  <si>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</si>
  <si>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</si>
  <si>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</si>
  <si>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</si>
  <si>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No. of Inst. For which daily data transferred at the end of the month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</si>
  <si>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</si>
  <si>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</si>
  <si>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</si>
  <si>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</si>
  <si>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</si>
  <si>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</si>
  <si>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</si>
  <si>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</si>
  <si>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</si>
  <si>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</si>
  <si>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</si>
  <si>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</si>
  <si>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</si>
  <si>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</si>
  <si>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</si>
  <si>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</si>
  <si>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</si>
  <si>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</si>
  <si>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</si>
  <si>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</si>
  <si>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</si>
  <si>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</si>
  <si>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</si>
  <si>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</si>
  <si>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</si>
  <si>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</si>
  <si>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</si>
  <si>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</si>
  <si>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</si>
  <si>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</si>
  <si>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</si>
  <si>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</si>
  <si>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</si>
  <si>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</si>
  <si>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</si>
  <si>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</si>
  <si>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</si>
  <si>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</si>
  <si>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</si>
  <si>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</si>
  <si>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</si>
  <si>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</si>
  <si>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</si>
  <si>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</si>
  <si>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</si>
  <si>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</si>
  <si>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</si>
  <si>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</si>
  <si>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</si>
  <si>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</si>
  <si>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</si>
  <si>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</si>
  <si>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</si>
  <si>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</si>
  <si>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</si>
  <si>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</si>
  <si>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</si>
  <si>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</si>
  <si>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</si>
  <si>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</si>
  <si>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</si>
  <si>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</si>
  <si>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</si>
  <si>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</si>
  <si>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</si>
  <si>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</si>
  <si>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</si>
  <si>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</si>
  <si>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</si>
  <si>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</si>
  <si>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</si>
  <si>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</si>
  <si>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</si>
  <si>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</si>
  <si>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</si>
  <si>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</si>
  <si>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</si>
  <si>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</si>
  <si>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Number of School Working Days (Primary,Classes I-V) for 2017-18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</si>
  <si>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</si>
  <si>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</si>
  <si>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</si>
  <si>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</si>
  <si>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</si>
  <si>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</si>
  <si>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</si>
  <si>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</si>
  <si>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</si>
  <si>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</si>
  <si>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</si>
  <si>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Table: AT-26 : Number of School Working Days (Primary,Classes I-V) for 2017-18</t>
  </si>
  <si>
    <t>Table: AT-26A : Number of School Working Days (Upper Primary,Classes VI-VIII) for 2017-18</t>
  </si>
  <si>
    <t>Table: AT-28 A: Requirement of kitchen cum stores as per Plinth Area Norm in the Primary and Upper Primary schools for the year 2017-18</t>
  </si>
  <si>
    <t>STATE: Andhra Pradesh</t>
  </si>
  <si>
    <t>Cnetre Share</t>
  </si>
  <si>
    <t xml:space="preserve">Foodgrains  (Rice) </t>
  </si>
  <si>
    <t>As per Req.</t>
  </si>
  <si>
    <t>Thrice in a week</t>
  </si>
  <si>
    <t>Egg/banana</t>
  </si>
  <si>
    <t>3.  Per Unit Cooking Cost  (60:40)</t>
  </si>
  <si>
    <t>(Signature)
for Secretary of the Nodal Department
Govt.of Andhra Pradesh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</si>
  <si>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</si>
  <si>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</si>
  <si>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</si>
  <si>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</si>
  <si>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</si>
  <si>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</si>
  <si>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</si>
  <si>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</si>
  <si>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</si>
  <si>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</si>
  <si>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</si>
  <si>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Ananthapur</t>
  </si>
  <si>
    <t>Kurnool</t>
  </si>
  <si>
    <t>TOTAL</t>
  </si>
  <si>
    <t>State: ANDHRA PRADESH</t>
  </si>
  <si>
    <t>State:ANDHRA PRADESH</t>
  </si>
  <si>
    <t>State : Andhra Pradesh</t>
  </si>
  <si>
    <t xml:space="preserve">Date: </t>
  </si>
  <si>
    <t>STATE: ANDHRA PRADESH</t>
  </si>
  <si>
    <t>ST:9.79</t>
  </si>
  <si>
    <t>SC:18.75</t>
  </si>
  <si>
    <t>Gen: 71.46</t>
  </si>
  <si>
    <t>Recurring Assistance (Gen)</t>
  </si>
  <si>
    <t>Recurring Assistance (drought)</t>
  </si>
  <si>
    <t>NIL</t>
  </si>
  <si>
    <t>Plinth Area 5(36 sq Mtr)</t>
  </si>
  <si>
    <t>Plinth Area 6(40 sq Mtr)</t>
  </si>
  <si>
    <t>Plinth Area 7 (44 sq Mtr)</t>
  </si>
  <si>
    <t>Total fund required : (Col. 6+10+14+18+22+26+30)</t>
  </si>
  <si>
    <t>date:__________</t>
  </si>
  <si>
    <t>Date:__________</t>
  </si>
  <si>
    <r>
      <t xml:space="preserve">No. of working days </t>
    </r>
    <r>
      <rPr>
        <b/>
        <sz val="11"/>
        <color indexed="10"/>
        <rFont val="Book Antiqua"/>
        <family val="1"/>
      </rPr>
      <t xml:space="preserve">      </t>
    </r>
    <r>
      <rPr>
        <b/>
        <sz val="11"/>
        <rFont val="Book Antiqua"/>
        <family val="1"/>
      </rPr>
      <t xml:space="preserve">          </t>
    </r>
  </si>
  <si>
    <t>State: Andhra Pradesh</t>
  </si>
  <si>
    <r>
      <t>No. of working days</t>
    </r>
    <r>
      <rPr>
        <b/>
        <sz val="11"/>
        <color indexed="10"/>
        <rFont val="Book Antiqua"/>
        <family val="1"/>
      </rPr>
      <t xml:space="preserve">    </t>
    </r>
    <r>
      <rPr>
        <b/>
        <sz val="11"/>
        <rFont val="Book Antiqua"/>
        <family val="1"/>
      </rPr>
      <t xml:space="preserve">          </t>
    </r>
  </si>
  <si>
    <t>DATE:__________</t>
  </si>
  <si>
    <t>Date:---</t>
  </si>
  <si>
    <t>E-Transfer</t>
  </si>
  <si>
    <t xml:space="preserve">All </t>
  </si>
  <si>
    <t>Thrice a week</t>
  </si>
  <si>
    <t>Amount In lakhs</t>
  </si>
  <si>
    <t>State : ANDHRA PRADESH</t>
  </si>
  <si>
    <t>(Signature)
for Secretary of the Nodal Department
Government/UT Administration of 
Seal:</t>
  </si>
  <si>
    <t>* For Regular posts funds to be provided by GOI.</t>
  </si>
  <si>
    <t>2. Data Processing Officer</t>
  </si>
  <si>
    <t>1. Data Entry Operator</t>
  </si>
  <si>
    <t>Contractual/Part time employee</t>
  </si>
  <si>
    <t>5. Junior Assistant</t>
  </si>
  <si>
    <t>4. Senior Assistant</t>
  </si>
  <si>
    <t>3. Superintendent</t>
  </si>
  <si>
    <t>2. Assistant Director</t>
  </si>
  <si>
    <t>1. Additional Director</t>
  </si>
  <si>
    <t>Table-AT- 10 D</t>
  </si>
  <si>
    <t>Date: _____________</t>
  </si>
  <si>
    <t>Date: ____________</t>
  </si>
  <si>
    <t>(Signature)
for Secretary of the Nodal Department
Govt.of Andhra Pradesh
Seal</t>
  </si>
  <si>
    <t>Date:______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</si>
  <si>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</si>
  <si>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</si>
  <si>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</si>
  <si>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</si>
  <si>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</si>
  <si>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</si>
  <si>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</si>
  <si>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</si>
  <si>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</si>
  <si>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</si>
  <si>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</si>
  <si>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ANANTAPUR</t>
  </si>
  <si>
    <t>KURNOOL</t>
  </si>
  <si>
    <t>PS</t>
  </si>
  <si>
    <t>k.shed to be proposed less then 100 child</t>
  </si>
  <si>
    <t xml:space="preserve">K.Shedd prposed by the Dist Above 100 child </t>
  </si>
  <si>
    <t>K.Sheds to be sanctioned</t>
  </si>
  <si>
    <t>K.Sheds constructed under pahse-1</t>
  </si>
  <si>
    <t>K.Sheds Sanction under pahse-2</t>
  </si>
  <si>
    <t>T.Schools</t>
  </si>
  <si>
    <t>GOVT+LB</t>
  </si>
  <si>
    <t>HS</t>
  </si>
  <si>
    <t>PS+UP</t>
  </si>
  <si>
    <t>Institutions</t>
  </si>
  <si>
    <t>Sheet 3 A</t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</si>
  <si>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Toll free number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</si>
  <si>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Dedicated landline number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</si>
  <si>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Call centre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</si>
  <si>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Emails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</si>
  <si>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Press news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</si>
  <si>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Radio/T.V.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</si>
  <si>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SMS</t>
    </r>
  </si>
  <si>
    <r>
      <rPr>
        <b/>
        <sz val="7"/>
        <color indexed="8"/>
        <rFont val="Book Antiqua"/>
        <family val="1"/>
      </rPr>
      <t xml:space="preserve">  </t>
    </r>
    <r>
      <rPr>
        <b/>
        <sz val="10"/>
        <color indexed="8"/>
        <rFont val="Book Antiqua"/>
        <family val="1"/>
      </rPr>
      <t>Postal system</t>
    </r>
  </si>
  <si>
    <r>
      <t>Financial 
(</t>
    </r>
    <r>
      <rPr>
        <b/>
        <i/>
        <sz val="10"/>
        <rFont val="Book Antiqua"/>
        <family val="1"/>
      </rPr>
      <t>Rs. in lakh)</t>
    </r>
  </si>
  <si>
    <t>Financial 
( Rs. in lakh)                                       [col. 4-col.6-col.8]</t>
  </si>
  <si>
    <r>
      <t>Financial
 (</t>
    </r>
    <r>
      <rPr>
        <b/>
        <i/>
        <sz val="10"/>
        <rFont val="Book Antiqua"/>
        <family val="1"/>
      </rPr>
      <t>Rs. in lakh)</t>
    </r>
  </si>
  <si>
    <t>Financial
 ( Rs. in lakh)                                       [col. 4-col.6-col.8]</t>
  </si>
  <si>
    <t>CUDDAPAH</t>
  </si>
  <si>
    <t>date:_____________</t>
  </si>
  <si>
    <t>Govt.+LB</t>
  </si>
  <si>
    <t>Note:19523 litchen sheds under Phase-I are surrendered to Govt.</t>
  </si>
  <si>
    <t>Others
(STC/NCLP)</t>
  </si>
  <si>
    <t xml:space="preserve">                                                                       [Mid-Day Meal Scheme]</t>
  </si>
  <si>
    <t>All eligible Schools are Covered</t>
  </si>
  <si>
    <t>All eligible Schools are Covered under MDMs</t>
  </si>
  <si>
    <t>Details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</si>
  <si>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</si>
  <si>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</si>
  <si>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</si>
  <si>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</si>
  <si>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</si>
  <si>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</si>
  <si>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</si>
  <si>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</si>
  <si>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AT - 4 B</t>
  </si>
  <si>
    <t>Information on Aadhaar Enrolment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</si>
  <si>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</si>
  <si>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</si>
  <si>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</si>
  <si>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</si>
  <si>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PAB-MDM Approval vs. PERFORMANCE (Upper Primary, Classes VI to VIII)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</si>
  <si>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</si>
  <si>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</si>
  <si>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</si>
  <si>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</si>
  <si>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</si>
  <si>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</si>
  <si>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</si>
  <si>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</si>
  <si>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</si>
  <si>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 xml:space="preserve">AT - 10 E </t>
  </si>
  <si>
    <t>Information on Kitchen Garden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</si>
  <si>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</si>
  <si>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</si>
  <si>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</si>
  <si>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</si>
  <si>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</si>
  <si>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</si>
  <si>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</si>
  <si>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</si>
  <si>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</si>
  <si>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</si>
  <si>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</si>
  <si>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</si>
  <si>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</si>
  <si>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</si>
  <si>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AT - 32</t>
  </si>
  <si>
    <t>PAB-MDM Approval vs. PERFORMANCE (Primary Classes I to V) during 2017-18 - Drought</t>
  </si>
  <si>
    <t>AT - 32 A</t>
  </si>
  <si>
    <t>Performance during 2017-18</t>
  </si>
  <si>
    <t>Annual Work Plan and Budget 2018-19</t>
  </si>
  <si>
    <t>Table: AT-1: GENERAL INFORMATION for 2017-18</t>
  </si>
  <si>
    <t>Egg/ Any Other Item</t>
  </si>
  <si>
    <t>up to 31st July-2017</t>
  </si>
  <si>
    <t>23.5.2017</t>
  </si>
  <si>
    <t>02.10.2017</t>
  </si>
  <si>
    <t>30.5.2017</t>
  </si>
  <si>
    <t>Centralised payment at State level to Benificiary to their bank accounts for all components</t>
  </si>
  <si>
    <t>Table: AT-23 : Releasing of Funds from State to Directorate / Authority / District / Block / School level for 2017-18</t>
  </si>
  <si>
    <t>Table: AT-2 :  Details of  Provisions  in the State Budget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</si>
  <si>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</si>
  <si>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</si>
  <si>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</si>
  <si>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</si>
  <si>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</si>
  <si>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</si>
  <si>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 xml:space="preserve">Average number of children availed MDM </t>
  </si>
  <si>
    <t>Table: AT-4A: Enrolment vis-a-vis availed for MDM  (Upper Primary, Classes VI - VIII) during 2017-18</t>
  </si>
  <si>
    <t>Table: AT-5:  PAB-MDM Approval vs. PERFORMANCE (Primary, Classes I - V) during 2017-18</t>
  </si>
  <si>
    <t>MDM-PAB Approval for 2017-18</t>
  </si>
  <si>
    <t>Table: AT-5 A:  PAB-MDM Approval vs. PERFORMANCE (Upper Primary, Classes VI to VIII) during 2017-18</t>
  </si>
  <si>
    <t>Table: AT-5 B:  PAB-MDM Approval vs. PERFORMANCE NCLP Schools during 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</si>
  <si>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</si>
  <si>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</si>
  <si>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Table: AT-6: Utilisation of foodgrains*  (Primary, Classes I-V) during 2017-18</t>
  </si>
  <si>
    <t>Table: AT-6A: Utilisation of foodgrains*  (Upper Primary, Classes VI-VIII) during 2017-18</t>
  </si>
  <si>
    <t>Gross Allocation for the  FY 2017-18</t>
  </si>
  <si>
    <t>Opening Balance as on 01.4.17</t>
  </si>
  <si>
    <t>Table: AT-6B: PAYMENT OF COST OF FOOD GRAINS TO FCI (Primary and Upper Primary Classes I-VIII) during 2017-18</t>
  </si>
  <si>
    <t>Allocation for cost of foodgrains for 2017-18</t>
  </si>
  <si>
    <t>Opening Balance as on 01.04.17</t>
  </si>
  <si>
    <t>Table: AT-6C: Utilisation of foodgrains (Coarse Grain) during 2017-18</t>
  </si>
  <si>
    <t>Table: AT-7: Utilisation of Cooking Cost* (Primary, Classes I-V) during 2017-18</t>
  </si>
  <si>
    <t xml:space="preserve">Allocation for 2017-18                                </t>
  </si>
  <si>
    <t xml:space="preserve">Opening Balance as on 01.04.2017                                     </t>
  </si>
  <si>
    <t xml:space="preserve">Total Unspent Balance as on 31.12.2017   </t>
  </si>
  <si>
    <t>Table: AT-7A: Utilisation of Cooking cost* (Upper Primary Classes, VI-VIII) for 2017-18</t>
  </si>
  <si>
    <t>Table AT - 8 :UTILIZATION OF CENTRAL ASSISTANCE TOWARDS HONORARIUM TO COOK-CUM-HELPERS (Primary classes I-V) 2017-18</t>
  </si>
  <si>
    <t>Allocation for FY 2017-18</t>
  </si>
  <si>
    <t>Opening Balance as on 01.04.2017</t>
  </si>
  <si>
    <t>Unspent Balance as on 31.12.2017</t>
  </si>
  <si>
    <t>Table AT - 8A : UTILIZATION OF CENTRAL ASSISTANCE TOWARDS HONORARIUM TO COOK-CUM-HELPERS (Upper Primary classes VI-VIII) during 2017-18</t>
  </si>
  <si>
    <t>Table: AT-9 : Utilisation of Central Assitance towards Transportation Assistance (Primary &amp; Upper Primary,Classes I-VIII) during 2017-18</t>
  </si>
  <si>
    <t>Table: AT-10 :  Utilisation of Central Assistance towards MME  (Primary &amp; Upper Primary,Classes I-VIII) during 2017-18</t>
  </si>
  <si>
    <t>Unspent balance
 as on 31.12.16
[Col: (4+5)-7]</t>
  </si>
  <si>
    <t>Table: AT-10 A : Details of Meetings at district level during 2017-18</t>
  </si>
  <si>
    <t xml:space="preserve">Table AT - 10 B : Details of Social Audit during 2017-18 </t>
  </si>
  <si>
    <t>Proposed to be engaged for the year 2018-19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</si>
  <si>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</si>
  <si>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</si>
  <si>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</si>
  <si>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</si>
  <si>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</si>
  <si>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</si>
  <si>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*Total sanction during 2006-07 to 2017-18</t>
  </si>
  <si>
    <t>*Total Sanction during 2011-12 to 2017-18</t>
  </si>
  <si>
    <t>Table: AT-17 : Coverage under Rashtriya Bal Swasthya Karykram (School Health Programme) - 2017-18</t>
  </si>
  <si>
    <t>Annual Work Plan &amp; Budget 2018-19</t>
  </si>
  <si>
    <t>Table AT - 23 Annual and Monthly data entry status in MDM-MIS during 2017-18</t>
  </si>
  <si>
    <t>Table AT - 23 A- Implementation of Automated Monitoring System  during 2017-18</t>
  </si>
  <si>
    <t>Sl.No</t>
  </si>
  <si>
    <t>Table: AT-27: Proposal for coverage of children and working days  for 2018-19 (Primary Classes, I-V)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</si>
  <si>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</si>
  <si>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</si>
  <si>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</si>
  <si>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</si>
  <si>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</si>
  <si>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</si>
  <si>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 D : Proposal for coverage of children and working days  for Upper Primary (Classes VI-VIII) in Drought affected areas  during 2018-19</t>
  </si>
  <si>
    <t>Table: AT-27C</t>
  </si>
  <si>
    <t>Table: AT-27C : Proposal for coverage of children and working days  for Primary (Classes I-V) in Drought affected areas  during 2018-19</t>
  </si>
  <si>
    <t xml:space="preserve">Kitchen-cum-store sanctioned during 2006-07 to 2017-18 </t>
  </si>
  <si>
    <t>Table: AT-28: Requirement of kitchen-cum-stores in the Primary and Upper Primary schools for the year 2018-19</t>
  </si>
  <si>
    <t>Total fund required : (Col. 6+10+14+18)</t>
  </si>
  <si>
    <t>Table: AT-28 A: Requirement of kitchen cum stores as per Plinth Area Norm in the Primary and Upper Primary schools for the year 2018-19</t>
  </si>
  <si>
    <t>Kitchen devices sanctioned during 2006-07 to 2017-18 under MDM</t>
  </si>
  <si>
    <t>Table: AT-29 : Requirement of Kitchen Devices during 2018-19 in Primary &amp; Upper Primary Schools</t>
  </si>
  <si>
    <t>Table: AT 30 :    Requirement of Cook cum Helpers for 2018-19</t>
  </si>
  <si>
    <t>Engaged in 2017-18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</si>
  <si>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</si>
  <si>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</si>
  <si>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</si>
  <si>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</si>
  <si>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</si>
  <si>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r>
      <t xml:space="preserve">Utilisation
</t>
    </r>
    <r>
      <rPr>
        <b/>
        <sz val="10"/>
        <color rgb="FFFF0000"/>
        <rFont val="Arial"/>
        <family val="2"/>
      </rPr>
      <t>(in MTs)</t>
    </r>
  </si>
  <si>
    <t>Allocation (Centre +State)</t>
  </si>
  <si>
    <t>Utilisation (Centre +State)</t>
  </si>
  <si>
    <t>Utilisation</t>
  </si>
  <si>
    <t>Table: AT-32A</t>
  </si>
  <si>
    <t>Table: AT-32 A:  PAB-MDM Approval vs. PERFORMANCE (Upper Primary, Classes VI to VIII) during 2017-18 - Drought</t>
  </si>
  <si>
    <t>Table: AT-27B</t>
  </si>
  <si>
    <t>Table: AT-27 B: Proposal for coverage of children for NCLP Schools during 2018-19</t>
  </si>
  <si>
    <t>Table: AT-27A</t>
  </si>
  <si>
    <t>Table: AT-27 A: Proposal for coverage of children and working days  for 2018-19 (Upper Primary,Classes VI-VIII)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</si>
  <si>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</si>
  <si>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</si>
  <si>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</si>
  <si>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</si>
  <si>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</si>
  <si>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</si>
  <si>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</si>
  <si>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Redgram Dal</t>
  </si>
  <si>
    <t>Name of the DIST.</t>
  </si>
  <si>
    <t>Meekosam/Janmabhumi</t>
  </si>
  <si>
    <t>Yes</t>
  </si>
  <si>
    <t>1.In all the schools Rallies &amp; Meeting conducted during Badikosta Programme.
2.Vanam Manam &amp; Neeru Chettu Programmes carried out in all the Schools.
3. Ammaku Vandanam i.e. a tribute to Holy feet of Mother conducted in all the Schools.
4.SURYARADHANA - conducted in all the Schools.</t>
  </si>
  <si>
    <t>ISKCON</t>
  </si>
  <si>
    <t>32KM</t>
  </si>
  <si>
    <t>18KM</t>
  </si>
  <si>
    <t>GVV SOCITY</t>
  </si>
  <si>
    <t>The Annapurna Trust has been contributed additional food item to 204 schools in three mandals at free of cost.</t>
  </si>
  <si>
    <t>Biscutes</t>
  </si>
  <si>
    <t>Sweets, Banana</t>
  </si>
  <si>
    <t>FG</t>
  </si>
  <si>
    <t>CC Centrl</t>
  </si>
  <si>
    <t>CC State</t>
  </si>
  <si>
    <t>CCHS Centl</t>
  </si>
  <si>
    <t>CCHS State</t>
  </si>
  <si>
    <t>Trns</t>
  </si>
  <si>
    <t>Table: AT-31 : Budget Provision for the Year 2018-19</t>
  </si>
  <si>
    <t>rates cenrl</t>
  </si>
  <si>
    <t>state</t>
  </si>
  <si>
    <t>Upry.</t>
  </si>
  <si>
    <t>Enrolmt</t>
  </si>
  <si>
    <t>NCLP</t>
  </si>
  <si>
    <t>2018-19</t>
  </si>
  <si>
    <t>All blocks</t>
  </si>
  <si>
    <t>3. MDM Consultants</t>
  </si>
  <si>
    <t>Table: AT- 10 F</t>
  </si>
  <si>
    <t>Table AT-10 F: Information on Drinking water facilites</t>
  </si>
  <si>
    <t xml:space="preserve">State / UT: </t>
  </si>
  <si>
    <t>During 01.04.17 to 31.03.2018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</si>
  <si>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</si>
  <si>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</si>
  <si>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</si>
  <si>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</si>
  <si>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</si>
  <si>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</si>
  <si>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</si>
  <si>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</si>
  <si>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</si>
  <si>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</si>
  <si>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</si>
  <si>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</si>
  <si>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</si>
  <si>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</si>
  <si>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</si>
  <si>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Srikalahasti Devasthanam</t>
  </si>
  <si>
    <t>ISKCON &amp; A.Patra</t>
  </si>
  <si>
    <t>A.PATRA &amp;
 ISKCON</t>
  </si>
  <si>
    <t>GODAVARI VIDYA VISKA SOCITELY, T.P.GUDEM</t>
  </si>
  <si>
    <t xml:space="preserve">A.PATRA </t>
  </si>
  <si>
    <t>Buddavarapu</t>
  </si>
  <si>
    <t>Budget Released till 31.03.2018</t>
  </si>
  <si>
    <t>(For the Period 01.04.17 to 31.03.2018)</t>
  </si>
  <si>
    <t>(As on 31st March, 2018)</t>
  </si>
  <si>
    <t>(As on 31st March,2018)</t>
  </si>
  <si>
    <t>As on 31st , 20arch,2018)</t>
  </si>
  <si>
    <t>01.04.17 to 31.03.2018</t>
  </si>
  <si>
    <t>Proposals for 2018-19</t>
  </si>
  <si>
    <t>Jan.18</t>
  </si>
  <si>
    <t>Feb.18</t>
  </si>
  <si>
    <t>March.18</t>
  </si>
  <si>
    <r>
      <t xml:space="preserve">No. of working days </t>
    </r>
    <r>
      <rPr>
        <sz val="8"/>
        <rFont val="Book Antiqua"/>
        <family val="1"/>
      </rPr>
      <t xml:space="preserve">(During 01.04.17 to 31.03.18)     </t>
    </r>
    <r>
      <rPr>
        <sz val="10"/>
        <rFont val="Book Antiqua"/>
        <family val="1"/>
      </rPr>
      <t xml:space="preserve">             </t>
    </r>
  </si>
  <si>
    <t>Red Gram Dal</t>
  </si>
  <si>
    <t>Date:____</t>
  </si>
  <si>
    <t>STATE :ANDHRA PRADESH</t>
  </si>
  <si>
    <t>Narayana Reddy</t>
  </si>
  <si>
    <t>(Govt+ LB)</t>
  </si>
  <si>
    <t>School Education</t>
  </si>
  <si>
    <t>Email / Whatsapp</t>
  </si>
  <si>
    <t>NO</t>
  </si>
  <si>
    <t>dse.mdm@gmail.com</t>
  </si>
  <si>
    <t>YES</t>
  </si>
  <si>
    <t>During 01.04.2017 to 31.03.2018</t>
  </si>
  <si>
    <t>(For the Period 01.04.2017 to 31.03.2018)</t>
  </si>
  <si>
    <t>Existing /Proposed</t>
  </si>
  <si>
    <t>SSAAT</t>
  </si>
  <si>
    <t>Nil</t>
  </si>
  <si>
    <t>Findings communicated to DEO &amp; to act accordingly.</t>
  </si>
  <si>
    <t>drought 18-19</t>
  </si>
  <si>
    <t>UPS</t>
  </si>
  <si>
    <t>DROUGHT</t>
  </si>
  <si>
    <t>W.DAYS</t>
  </si>
  <si>
    <t>CC CENTRL</t>
  </si>
  <si>
    <t>CC STAT</t>
  </si>
  <si>
    <t>CCHS</t>
  </si>
  <si>
    <t>TRNS</t>
  </si>
  <si>
    <t>Complaint of MDM workers Union AITUC  &amp; CITU to redress their demands.</t>
  </si>
  <si>
    <t>Issue was submitted to the Commissioner of School Education, AP, Amaravathi. Vide Rc.No.3260/C3/C4/MDM/2017 Dt:06.09.2017 for further action as it is a policy matter to be consider by the Govt.</t>
  </si>
  <si>
    <t>Aug ,Oct 2017</t>
  </si>
  <si>
    <t>1.July,17</t>
  </si>
  <si>
    <t>1.Request of  R.Pushpalatha, Voppangi of Saravakota Mandal for minor repairs of Kitchen shed at MPPS, Kidimi</t>
  </si>
  <si>
    <t>Addressed to PO, SSA, /EE, SSA, SRIKAKULAM to take necessary action in the matter.</t>
  </si>
  <si>
    <t>June,July, Aug,Nov 2017, Dec</t>
  </si>
  <si>
    <t>Redressed</t>
  </si>
  <si>
    <t>RO not generated</t>
  </si>
  <si>
    <t>PROBLEM WAS SOLVED WITH THE HELP OF NIC</t>
  </si>
  <si>
    <t>19.12.2017
19.02.2018</t>
  </si>
  <si>
    <t>Mar.18</t>
  </si>
  <si>
    <t>K.Sheds</t>
  </si>
  <si>
    <t>Sanction</t>
  </si>
  <si>
    <t>Completed</t>
  </si>
  <si>
    <t>In Progress</t>
  </si>
  <si>
    <t>yet to start</t>
  </si>
  <si>
    <t>Phase -1</t>
  </si>
  <si>
    <t>Pahse-2</t>
  </si>
  <si>
    <t>* Note : IX &amp; X Classes Enrollment included</t>
  </si>
  <si>
    <t>19523 Kitchen sheds were not constructed and same surrender to State Govt.AP</t>
  </si>
  <si>
    <r>
      <t>Rs.</t>
    </r>
    <r>
      <rPr>
        <b/>
        <sz val="8"/>
        <rFont val="Book Antiqua"/>
        <family val="1"/>
      </rPr>
      <t>15628</t>
    </r>
    <r>
      <rPr>
        <sz val="8"/>
        <rFont val="Book Antiqua"/>
        <family val="1"/>
      </rPr>
      <t>/-As per the Food Act the amount has been collected form the MEO/HM and paid to the styudents / CCH</t>
    </r>
  </si>
  <si>
    <r>
      <t>Rs.</t>
    </r>
    <r>
      <rPr>
        <b/>
        <sz val="8"/>
        <rFont val="Book Antiqua"/>
        <family val="1"/>
      </rPr>
      <t>1161</t>
    </r>
    <r>
      <rPr>
        <sz val="8"/>
        <rFont val="Book Antiqua"/>
        <family val="1"/>
      </rPr>
      <t xml:space="preserve"> - Egg not provided.
Egg Cost Paid</t>
    </r>
  </si>
  <si>
    <t>No.of institutions where setting up of kitchen garden is proposed during 2018-19</t>
  </si>
  <si>
    <t>* Note: 7858 No.of CCHs Proposed for 2018-19 to Drought block</t>
  </si>
  <si>
    <t>* Note: 3009 No.of CCHs Proposed for 2018-19 to Drought block</t>
  </si>
  <si>
    <t>w.e.f. 1st August, 2017</t>
  </si>
  <si>
    <t>Opening balance as on 01.04.17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</si>
  <si>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</si>
  <si>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Table: AT-27 F</t>
  </si>
  <si>
    <t>Table: AT-27 F : Proposal for coverage of children and working days  for Upper Primary (Classes VI-VIII) in Remedial Classes during 2018-19</t>
  </si>
  <si>
    <t xml:space="preserve">Proposed number of children for Remedial  </t>
  </si>
  <si>
    <t>Total No. of Cook-cum-helpers required in drought affected areas, if any</t>
  </si>
  <si>
    <t>CCHs for Remedial Classes
(Summer Holy days)</t>
  </si>
  <si>
    <t>Remedial Classes
(summer holy  days)</t>
  </si>
  <si>
    <t>* Note: 3415 No.of CCHs Proposed for 2018-19 to Remedial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</si>
</sst>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&quot;₹&quot;\ #,##0.00"/>
    <numFmt numFmtId="168" formatCode="0.000000"/>
  </numFmts>
  <fonts count="1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i/>
      <sz val="12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i/>
      <u/>
      <sz val="11"/>
      <name val="Book Antiqua"/>
      <family val="1"/>
    </font>
    <font>
      <b/>
      <u/>
      <sz val="11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0.5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sz val="9.5"/>
      <color indexed="8"/>
      <name val="Book Antiqua"/>
      <family val="1"/>
    </font>
    <font>
      <sz val="9.5"/>
      <color indexed="8"/>
      <name val="Book Antiqua"/>
      <family val="1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u/>
      <sz val="13"/>
      <name val="Book Antiqua"/>
      <family val="1"/>
    </font>
    <font>
      <b/>
      <i/>
      <u/>
      <sz val="10"/>
      <name val="Book Antiqua"/>
      <family val="1"/>
    </font>
    <font>
      <b/>
      <sz val="16"/>
      <name val="Book Antiqua"/>
      <family val="1"/>
    </font>
    <font>
      <b/>
      <u/>
      <sz val="12"/>
      <name val="Book Antiqua"/>
      <family val="1"/>
    </font>
    <font>
      <b/>
      <i/>
      <sz val="10"/>
      <name val="Book Antiqua"/>
      <family val="1"/>
    </font>
    <font>
      <b/>
      <sz val="11"/>
      <color indexed="10"/>
      <name val="Book Antiqua"/>
      <family val="1"/>
    </font>
    <font>
      <b/>
      <sz val="18"/>
      <name val="Arial"/>
      <family val="2"/>
    </font>
    <font>
      <b/>
      <i/>
      <u/>
      <sz val="12"/>
      <name val="Book Antiqua"/>
      <family val="1"/>
    </font>
    <font>
      <b/>
      <u/>
      <sz val="14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i/>
      <sz val="11"/>
      <name val="Book Antiqua"/>
      <family val="1"/>
    </font>
    <font>
      <sz val="10"/>
      <color indexed="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2"/>
      <name val="Book Antiqua"/>
      <family val="1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0"/>
      <color theme="1"/>
      <name val="Book Antiqua"/>
      <family val="1"/>
    </font>
    <font>
      <b/>
      <sz val="8"/>
      <color theme="1"/>
      <name val="Book Antiqua"/>
      <family val="1"/>
    </font>
    <font>
      <sz val="11"/>
      <color theme="1"/>
      <name val="Book Antiqua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color theme="1"/>
      <name val="Book Antiqua"/>
      <family val="1"/>
    </font>
    <font>
      <b/>
      <sz val="10"/>
      <color theme="1"/>
      <name val="Book Antiqua"/>
      <family val="1"/>
    </font>
    <font>
      <b/>
      <sz val="7"/>
      <color indexed="8"/>
      <name val="Book Antiqua"/>
      <family val="1"/>
    </font>
    <font>
      <b/>
      <sz val="10"/>
      <color indexed="8"/>
      <name val="Book Antiqua"/>
      <family val="1"/>
    </font>
    <font>
      <sz val="9"/>
      <color theme="1"/>
      <name val="Book Antiqua"/>
      <family val="1"/>
    </font>
    <font>
      <i/>
      <sz val="9"/>
      <color indexed="8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sz val="16"/>
      <color indexed="8"/>
      <name val="Book Antiqua"/>
      <family val="1"/>
    </font>
    <font>
      <sz val="20"/>
      <color indexed="8"/>
      <name val="Book Antiqua"/>
      <family val="1"/>
    </font>
    <font>
      <b/>
      <sz val="11"/>
      <color indexed="8"/>
      <name val="Book Antiqua"/>
      <family val="1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9.5"/>
      <name val="Book Antiqua"/>
      <family val="1"/>
    </font>
    <font>
      <b/>
      <sz val="40"/>
      <name val="Book Antiqua"/>
      <family val="1"/>
    </font>
    <font>
      <sz val="10.5"/>
      <color theme="1"/>
      <name val="Book Antiqua"/>
      <family val="1"/>
    </font>
    <font>
      <b/>
      <sz val="36"/>
      <name val="Book Antiqua"/>
      <family val="1"/>
    </font>
    <font>
      <b/>
      <u/>
      <sz val="9"/>
      <name val="Arial"/>
      <family val="2"/>
    </font>
    <font>
      <b/>
      <sz val="8"/>
      <name val="Trebuchet MS"/>
      <family val="2"/>
    </font>
    <font>
      <sz val="10"/>
      <color theme="1"/>
      <name val="Calibri"/>
      <family val="2"/>
      <scheme val="minor"/>
    </font>
    <font>
      <u/>
      <sz val="6.3"/>
      <color theme="10"/>
      <name val="Arial"/>
      <family val="2"/>
    </font>
    <font>
      <sz val="6.3"/>
      <color theme="10"/>
      <name val="Arial"/>
      <family val="2"/>
    </font>
    <font>
      <sz val="9"/>
      <color theme="1"/>
      <name val="Calibri"/>
      <family val="2"/>
      <scheme val="minor"/>
    </font>
    <font>
      <sz val="11.5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0">
    <xf numFmtId="0" fontId="0" fillId="0" borderId="0"/>
    <xf numFmtId="0" fontId="45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58" fillId="0" borderId="0"/>
    <xf numFmtId="0" fontId="58" fillId="0" borderId="0"/>
    <xf numFmtId="0" fontId="9" fillId="0" borderId="0"/>
    <xf numFmtId="0" fontId="8" fillId="0" borderId="0"/>
    <xf numFmtId="0" fontId="58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2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00">
    <xf numFmtId="0" fontId="0" fillId="0" borderId="0" xfId="0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14" fillId="0" borderId="0" xfId="0" applyFont="1" applyAlignment="1">
      <alignment horizontal="center" wrapText="1"/>
    </xf>
    <xf numFmtId="0" fontId="22" fillId="0" borderId="0" xfId="0" applyFont="1"/>
    <xf numFmtId="0" fontId="24" fillId="0" borderId="0" xfId="0" applyFont="1"/>
    <xf numFmtId="0" fontId="22" fillId="0" borderId="0" xfId="0" applyFont="1" applyBorder="1"/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45" fillId="0" borderId="0" xfId="1"/>
    <xf numFmtId="0" fontId="45" fillId="0" borderId="0" xfId="1" applyAlignment="1">
      <alignment horizontal="left"/>
    </xf>
    <xf numFmtId="0" fontId="27" fillId="0" borderId="0" xfId="1" applyFont="1"/>
    <xf numFmtId="0" fontId="27" fillId="0" borderId="0" xfId="1" applyFont="1" applyAlignment="1">
      <alignment horizontal="center"/>
    </xf>
    <xf numFmtId="0" fontId="27" fillId="0" borderId="0" xfId="1" applyFont="1" applyBorder="1" applyAlignment="1">
      <alignment horizontal="left"/>
    </xf>
    <xf numFmtId="0" fontId="16" fillId="0" borderId="0" xfId="2"/>
    <xf numFmtId="0" fontId="2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3" fillId="0" borderId="0" xfId="2" applyFont="1"/>
    <xf numFmtId="0" fontId="11" fillId="0" borderId="2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11" fillId="0" borderId="5" xfId="2" applyFont="1" applyBorder="1" applyAlignment="1">
      <alignment horizontal="center" vertical="top" wrapText="1"/>
    </xf>
    <xf numFmtId="0" fontId="11" fillId="0" borderId="0" xfId="2" applyFont="1"/>
    <xf numFmtId="0" fontId="26" fillId="0" borderId="7" xfId="0" applyFont="1" applyBorder="1" applyAlignment="1"/>
    <xf numFmtId="0" fontId="12" fillId="0" borderId="0" xfId="0" applyFont="1" applyAlignment="1">
      <alignment horizontal="center"/>
    </xf>
    <xf numFmtId="0" fontId="15" fillId="0" borderId="0" xfId="0" applyFont="1" applyAlignment="1"/>
    <xf numFmtId="0" fontId="11" fillId="0" borderId="10" xfId="0" applyFont="1" applyFill="1" applyBorder="1" applyAlignment="1">
      <alignment horizontal="center" vertical="top" wrapText="1"/>
    </xf>
    <xf numFmtId="0" fontId="26" fillId="0" borderId="0" xfId="0" applyFont="1" applyBorder="1" applyAlignment="1"/>
    <xf numFmtId="0" fontId="14" fillId="0" borderId="0" xfId="0" applyFont="1" applyAlignment="1"/>
    <xf numFmtId="0" fontId="19" fillId="0" borderId="0" xfId="0" applyFont="1" applyBorder="1"/>
    <xf numFmtId="0" fontId="11" fillId="0" borderId="0" xfId="2" applyFont="1" applyBorder="1"/>
    <xf numFmtId="0" fontId="26" fillId="0" borderId="7" xfId="0" applyFont="1" applyBorder="1" applyAlignment="1">
      <alignment horizontal="center"/>
    </xf>
    <xf numFmtId="0" fontId="15" fillId="0" borderId="0" xfId="2" applyFont="1" applyAlignment="1">
      <alignment horizontal="center"/>
    </xf>
    <xf numFmtId="0" fontId="20" fillId="0" borderId="0" xfId="2" applyFont="1" applyAlignment="1"/>
    <xf numFmtId="0" fontId="26" fillId="0" borderId="0" xfId="0" applyFont="1" applyBorder="1" applyAlignment="1">
      <alignment horizontal="center"/>
    </xf>
    <xf numFmtId="0" fontId="15" fillId="0" borderId="7" xfId="0" applyFont="1" applyBorder="1" applyAlignment="1"/>
    <xf numFmtId="0" fontId="0" fillId="0" borderId="0" xfId="0" applyAlignment="1">
      <alignment horizontal="center"/>
    </xf>
    <xf numFmtId="0" fontId="15" fillId="0" borderId="0" xfId="0" applyFont="1" applyBorder="1" applyAlignment="1"/>
    <xf numFmtId="0" fontId="24" fillId="0" borderId="0" xfId="0" applyFont="1" applyAlignment="1">
      <alignment horizontal="center"/>
    </xf>
    <xf numFmtId="0" fontId="37" fillId="0" borderId="0" xfId="1" applyFont="1" applyAlignment="1">
      <alignment horizontal="center"/>
    </xf>
    <xf numFmtId="0" fontId="16" fillId="0" borderId="0" xfId="2" applyFont="1"/>
    <xf numFmtId="0" fontId="16" fillId="0" borderId="0" xfId="4"/>
    <xf numFmtId="0" fontId="12" fillId="0" borderId="0" xfId="4" applyFont="1" applyAlignment="1">
      <alignment horizontal="right"/>
    </xf>
    <xf numFmtId="0" fontId="13" fillId="0" borderId="0" xfId="4" applyFont="1" applyAlignment="1">
      <alignment horizontal="right"/>
    </xf>
    <xf numFmtId="0" fontId="24" fillId="0" borderId="2" xfId="4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center"/>
    </xf>
    <xf numFmtId="0" fontId="41" fillId="0" borderId="0" xfId="0" applyFont="1"/>
    <xf numFmtId="0" fontId="42" fillId="0" borderId="0" xfId="0" applyFont="1" applyBorder="1" applyAlignment="1"/>
    <xf numFmtId="0" fontId="43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39" fillId="0" borderId="0" xfId="0" applyFont="1" applyAlignment="1"/>
    <xf numFmtId="0" fontId="40" fillId="0" borderId="0" xfId="0" applyFont="1" applyAlignment="1"/>
    <xf numFmtId="0" fontId="49" fillId="0" borderId="0" xfId="0" applyFont="1" applyAlignment="1">
      <alignment horizontal="center"/>
    </xf>
    <xf numFmtId="0" fontId="16" fillId="3" borderId="0" xfId="0" applyFont="1" applyFill="1"/>
    <xf numFmtId="0" fontId="21" fillId="3" borderId="0" xfId="0" applyFont="1" applyFill="1"/>
    <xf numFmtId="0" fontId="11" fillId="3" borderId="0" xfId="0" applyFont="1" applyFill="1"/>
    <xf numFmtId="0" fontId="16" fillId="2" borderId="0" xfId="0" applyFont="1" applyFill="1"/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Border="1"/>
    <xf numFmtId="0" fontId="11" fillId="2" borderId="0" xfId="0" applyFont="1" applyFill="1"/>
    <xf numFmtId="0" fontId="16" fillId="2" borderId="2" xfId="0" applyFont="1" applyFill="1" applyBorder="1" applyAlignment="1">
      <alignment horizontal="center" vertical="center" wrapText="1"/>
    </xf>
    <xf numFmtId="0" fontId="11" fillId="0" borderId="0" xfId="2" applyFont="1" applyAlignment="1"/>
    <xf numFmtId="0" fontId="26" fillId="0" borderId="0" xfId="2" applyFont="1" applyAlignment="1">
      <alignment horizontal="right"/>
    </xf>
    <xf numFmtId="0" fontId="19" fillId="0" borderId="2" xfId="0" applyFont="1" applyBorder="1" applyAlignment="1">
      <alignment horizontal="center"/>
    </xf>
    <xf numFmtId="0" fontId="41" fillId="2" borderId="0" xfId="0" applyFont="1" applyFill="1"/>
    <xf numFmtId="0" fontId="0" fillId="2" borderId="0" xfId="0" applyFill="1"/>
    <xf numFmtId="0" fontId="19" fillId="2" borderId="0" xfId="0" applyFont="1" applyFill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44" fillId="0" borderId="0" xfId="0" applyFont="1" applyAlignment="1"/>
    <xf numFmtId="0" fontId="24" fillId="0" borderId="0" xfId="0" applyFont="1" applyAlignment="1"/>
    <xf numFmtId="0" fontId="11" fillId="0" borderId="2" xfId="0" applyFont="1" applyBorder="1" applyAlignment="1">
      <alignment horizontal="center" vertical="top" wrapText="1"/>
    </xf>
    <xf numFmtId="0" fontId="24" fillId="0" borderId="2" xfId="4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1" fillId="0" borderId="2" xfId="2" applyFont="1" applyBorder="1" applyAlignment="1">
      <alignment horizontal="right" vertical="center" wrapText="1"/>
    </xf>
    <xf numFmtId="0" fontId="52" fillId="0" borderId="2" xfId="2" applyFont="1" applyBorder="1" applyAlignment="1">
      <alignment horizontal="right" vertical="center" wrapText="1"/>
    </xf>
    <xf numFmtId="0" fontId="52" fillId="0" borderId="2" xfId="2" applyFont="1" applyBorder="1" applyAlignment="1">
      <alignment vertical="center" wrapText="1"/>
    </xf>
    <xf numFmtId="0" fontId="52" fillId="0" borderId="0" xfId="2" applyFont="1" applyAlignment="1">
      <alignment vertical="center" wrapText="1"/>
    </xf>
    <xf numFmtId="0" fontId="52" fillId="0" borderId="0" xfId="2" applyFont="1" applyBorder="1" applyAlignment="1">
      <alignment vertical="center" wrapText="1"/>
    </xf>
    <xf numFmtId="0" fontId="56" fillId="0" borderId="0" xfId="2" applyFont="1" applyAlignment="1">
      <alignment vertical="center" wrapText="1"/>
    </xf>
    <xf numFmtId="0" fontId="52" fillId="0" borderId="0" xfId="2" applyFont="1" applyBorder="1" applyAlignment="1">
      <alignment horizontal="center" vertical="center" wrapText="1"/>
    </xf>
    <xf numFmtId="49" fontId="52" fillId="0" borderId="0" xfId="2" applyNumberFormat="1" applyFont="1" applyBorder="1" applyAlignment="1">
      <alignment horizontal="left" vertical="center" wrapText="1"/>
    </xf>
    <xf numFmtId="2" fontId="52" fillId="0" borderId="0" xfId="2" applyNumberFormat="1" applyFont="1" applyBorder="1" applyAlignment="1">
      <alignment horizontal="center" vertical="center" wrapText="1"/>
    </xf>
    <xf numFmtId="0" fontId="51" fillId="0" borderId="0" xfId="2" applyFont="1" applyAlignment="1">
      <alignment vertical="center" wrapText="1"/>
    </xf>
    <xf numFmtId="2" fontId="52" fillId="0" borderId="0" xfId="2" applyNumberFormat="1" applyFont="1" applyAlignment="1">
      <alignment vertical="center" wrapText="1"/>
    </xf>
    <xf numFmtId="0" fontId="51" fillId="0" borderId="0" xfId="2" applyFont="1" applyBorder="1" applyAlignment="1">
      <alignment vertical="center" wrapText="1"/>
    </xf>
    <xf numFmtId="0" fontId="16" fillId="0" borderId="0" xfId="4" applyAlignment="1">
      <alignment vertical="center"/>
    </xf>
    <xf numFmtId="0" fontId="22" fillId="0" borderId="2" xfId="4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2" xfId="2" applyFont="1" applyBorder="1" applyAlignment="1">
      <alignment horizontal="center" vertical="center" wrapText="1"/>
    </xf>
    <xf numFmtId="0" fontId="51" fillId="0" borderId="2" xfId="2" applyFont="1" applyFill="1" applyBorder="1" applyAlignment="1">
      <alignment horizontal="left" vertical="center" wrapText="1"/>
    </xf>
    <xf numFmtId="0" fontId="22" fillId="0" borderId="0" xfId="2" applyFont="1" applyAlignment="1">
      <alignment wrapText="1"/>
    </xf>
    <xf numFmtId="0" fontId="24" fillId="0" borderId="0" xfId="2" applyFont="1" applyAlignment="1">
      <alignment wrapText="1"/>
    </xf>
    <xf numFmtId="0" fontId="4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22" fillId="2" borderId="2" xfId="2" applyFont="1" applyFill="1" applyBorder="1" applyAlignment="1">
      <alignment horizontal="center" vertical="center" wrapText="1"/>
    </xf>
    <xf numFmtId="0" fontId="52" fillId="0" borderId="2" xfId="2" applyFont="1" applyBorder="1" applyAlignment="1">
      <alignment horizontal="center" vertical="center" wrapText="1"/>
    </xf>
    <xf numFmtId="0" fontId="52" fillId="0" borderId="5" xfId="2" applyFont="1" applyBorder="1" applyAlignment="1">
      <alignment horizontal="center" vertical="center" wrapText="1"/>
    </xf>
    <xf numFmtId="0" fontId="52" fillId="0" borderId="6" xfId="2" applyFont="1" applyBorder="1" applyAlignment="1">
      <alignment horizontal="center" vertical="center" wrapText="1"/>
    </xf>
    <xf numFmtId="0" fontId="52" fillId="0" borderId="0" xfId="2" applyFont="1" applyBorder="1" applyAlignment="1">
      <alignment horizontal="left" vertical="center" wrapText="1"/>
    </xf>
    <xf numFmtId="0" fontId="51" fillId="0" borderId="2" xfId="2" applyFont="1" applyBorder="1" applyAlignment="1">
      <alignment horizontal="center" vertical="center" wrapText="1"/>
    </xf>
    <xf numFmtId="0" fontId="51" fillId="0" borderId="0" xfId="2" applyFont="1" applyBorder="1" applyAlignment="1">
      <alignment horizontal="center" vertical="center" wrapText="1"/>
    </xf>
    <xf numFmtId="0" fontId="56" fillId="0" borderId="2" xfId="2" quotePrefix="1" applyFont="1" applyBorder="1" applyAlignment="1">
      <alignment horizontal="center" vertical="center" wrapText="1"/>
    </xf>
    <xf numFmtId="0" fontId="16" fillId="0" borderId="0" xfId="0" applyFont="1"/>
    <xf numFmtId="0" fontId="11" fillId="0" borderId="2" xfId="2" applyFont="1" applyBorder="1" applyAlignment="1">
      <alignment horizontal="center" vertical="top" wrapText="1"/>
    </xf>
    <xf numFmtId="0" fontId="51" fillId="2" borderId="2" xfId="2" applyFont="1" applyFill="1" applyBorder="1" applyAlignment="1">
      <alignment horizontal="left" vertical="center" wrapText="1"/>
    </xf>
    <xf numFmtId="0" fontId="60" fillId="2" borderId="2" xfId="2" applyFont="1" applyFill="1" applyBorder="1" applyAlignment="1">
      <alignment horizontal="left" vertical="center" wrapText="1"/>
    </xf>
    <xf numFmtId="0" fontId="16" fillId="2" borderId="0" xfId="2" applyFill="1"/>
    <xf numFmtId="0" fontId="23" fillId="2" borderId="0" xfId="2" applyFont="1" applyFill="1" applyAlignment="1">
      <alignment horizontal="left"/>
    </xf>
    <xf numFmtId="0" fontId="26" fillId="2" borderId="7" xfId="2" applyFont="1" applyFill="1" applyBorder="1" applyAlignment="1"/>
    <xf numFmtId="0" fontId="69" fillId="2" borderId="0" xfId="2" applyFont="1" applyFill="1"/>
    <xf numFmtId="0" fontId="69" fillId="2" borderId="2" xfId="2" applyFont="1" applyFill="1" applyBorder="1"/>
    <xf numFmtId="0" fontId="69" fillId="2" borderId="0" xfId="2" applyFont="1" applyFill="1" applyBorder="1"/>
    <xf numFmtId="0" fontId="69" fillId="2" borderId="5" xfId="2" applyFont="1" applyFill="1" applyBorder="1" applyAlignment="1">
      <alignment horizontal="center" vertical="center" wrapText="1"/>
    </xf>
    <xf numFmtId="0" fontId="69" fillId="2" borderId="6" xfId="2" applyFont="1" applyFill="1" applyBorder="1" applyAlignment="1">
      <alignment horizontal="center" vertical="center" wrapText="1"/>
    </xf>
    <xf numFmtId="0" fontId="69" fillId="2" borderId="9" xfId="2" applyFont="1" applyFill="1" applyBorder="1" applyAlignment="1">
      <alignment horizontal="center" vertical="center" wrapText="1"/>
    </xf>
    <xf numFmtId="0" fontId="69" fillId="2" borderId="0" xfId="2" applyFont="1" applyFill="1" applyAlignment="1">
      <alignment horizontal="center"/>
    </xf>
    <xf numFmtId="0" fontId="11" fillId="2" borderId="2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 wrapText="1"/>
    </xf>
    <xf numFmtId="0" fontId="16" fillId="2" borderId="2" xfId="2" applyFont="1" applyFill="1" applyBorder="1" applyAlignment="1">
      <alignment horizontal="center"/>
    </xf>
    <xf numFmtId="0" fontId="16" fillId="2" borderId="2" xfId="2" applyFont="1" applyFill="1" applyBorder="1"/>
    <xf numFmtId="1" fontId="16" fillId="2" borderId="2" xfId="2" applyNumberFormat="1" applyFont="1" applyFill="1" applyBorder="1" applyAlignment="1">
      <alignment vertical="center" wrapText="1"/>
    </xf>
    <xf numFmtId="1" fontId="16" fillId="2" borderId="0" xfId="2" applyNumberFormat="1" applyFont="1" applyFill="1"/>
    <xf numFmtId="0" fontId="11" fillId="2" borderId="0" xfId="2" applyFont="1" applyFill="1"/>
    <xf numFmtId="0" fontId="11" fillId="2" borderId="0" xfId="2" applyFont="1" applyFill="1" applyBorder="1" applyAlignment="1">
      <alignment horizontal="left"/>
    </xf>
    <xf numFmtId="0" fontId="61" fillId="0" borderId="0" xfId="2" applyFont="1" applyBorder="1" applyAlignment="1">
      <alignment horizontal="right" vertical="center" wrapText="1"/>
    </xf>
    <xf numFmtId="0" fontId="61" fillId="0" borderId="0" xfId="2" applyFont="1" applyAlignment="1">
      <alignment horizontal="right" vertical="center" wrapText="1"/>
    </xf>
    <xf numFmtId="0" fontId="69" fillId="0" borderId="0" xfId="2" applyFont="1" applyAlignment="1">
      <alignment vertical="center"/>
    </xf>
    <xf numFmtId="0" fontId="51" fillId="0" borderId="0" xfId="2" applyFont="1"/>
    <xf numFmtId="0" fontId="53" fillId="0" borderId="0" xfId="2" applyFont="1" applyAlignment="1">
      <alignment horizontal="left"/>
    </xf>
    <xf numFmtId="0" fontId="52" fillId="0" borderId="0" xfId="2" applyFont="1" applyAlignment="1">
      <alignment horizontal="center"/>
    </xf>
    <xf numFmtId="0" fontId="51" fillId="0" borderId="0" xfId="2" applyFont="1" applyBorder="1"/>
    <xf numFmtId="0" fontId="52" fillId="0" borderId="6" xfId="2" applyFont="1" applyFill="1" applyBorder="1" applyAlignment="1">
      <alignment horizontal="center" vertical="center" wrapText="1"/>
    </xf>
    <xf numFmtId="0" fontId="52" fillId="0" borderId="9" xfId="2" applyFont="1" applyFill="1" applyBorder="1" applyAlignment="1">
      <alignment horizontal="center" vertical="center" wrapText="1"/>
    </xf>
    <xf numFmtId="0" fontId="51" fillId="2" borderId="2" xfId="2" applyFont="1" applyFill="1" applyBorder="1" applyAlignment="1">
      <alignment vertical="center" wrapText="1"/>
    </xf>
    <xf numFmtId="0" fontId="52" fillId="0" borderId="0" xfId="2" applyFont="1"/>
    <xf numFmtId="0" fontId="52" fillId="0" borderId="0" xfId="2" applyFont="1" applyBorder="1" applyAlignment="1">
      <alignment horizontal="center"/>
    </xf>
    <xf numFmtId="0" fontId="52" fillId="0" borderId="0" xfId="2" applyFont="1" applyBorder="1"/>
    <xf numFmtId="0" fontId="69" fillId="0" borderId="0" xfId="8" applyFont="1"/>
    <xf numFmtId="0" fontId="74" fillId="0" borderId="0" xfId="8" applyFont="1" applyAlignment="1">
      <alignment horizontal="left"/>
    </xf>
    <xf numFmtId="0" fontId="61" fillId="0" borderId="0" xfId="8" applyFont="1" applyAlignment="1">
      <alignment horizontal="center"/>
    </xf>
    <xf numFmtId="0" fontId="51" fillId="0" borderId="0" xfId="8" applyFont="1" applyAlignment="1">
      <alignment horizontal="center" vertical="center" wrapText="1"/>
    </xf>
    <xf numFmtId="0" fontId="52" fillId="0" borderId="2" xfId="8" applyFont="1" applyBorder="1" applyAlignment="1">
      <alignment horizontal="center" vertical="center" wrapText="1"/>
    </xf>
    <xf numFmtId="0" fontId="52" fillId="0" borderId="5" xfId="8" applyFont="1" applyBorder="1" applyAlignment="1">
      <alignment horizontal="center" vertical="center" wrapText="1"/>
    </xf>
    <xf numFmtId="0" fontId="52" fillId="0" borderId="6" xfId="8" applyFont="1" applyFill="1" applyBorder="1" applyAlignment="1">
      <alignment horizontal="center" vertical="center" wrapText="1"/>
    </xf>
    <xf numFmtId="0" fontId="52" fillId="0" borderId="9" xfId="8" applyFont="1" applyFill="1" applyBorder="1" applyAlignment="1">
      <alignment horizontal="center" vertical="center" wrapText="1"/>
    </xf>
    <xf numFmtId="0" fontId="52" fillId="0" borderId="6" xfId="8" applyFont="1" applyBorder="1" applyAlignment="1">
      <alignment horizontal="center" vertical="center" wrapText="1"/>
    </xf>
    <xf numFmtId="0" fontId="51" fillId="0" borderId="2" xfId="8" applyFont="1" applyBorder="1" applyAlignment="1">
      <alignment horizontal="center" vertical="center" wrapText="1"/>
    </xf>
    <xf numFmtId="0" fontId="51" fillId="0" borderId="2" xfId="8" applyFont="1" applyFill="1" applyBorder="1" applyAlignment="1">
      <alignment horizontal="left" vertical="center" wrapText="1"/>
    </xf>
    <xf numFmtId="0" fontId="51" fillId="0" borderId="2" xfId="8" applyFont="1" applyBorder="1" applyAlignment="1">
      <alignment horizontal="right" vertical="center" wrapText="1"/>
    </xf>
    <xf numFmtId="0" fontId="52" fillId="0" borderId="2" xfId="8" applyFont="1" applyBorder="1" applyAlignment="1">
      <alignment vertical="center" wrapText="1"/>
    </xf>
    <xf numFmtId="0" fontId="52" fillId="0" borderId="0" xfId="8" applyFont="1" applyAlignment="1">
      <alignment horizontal="center" vertical="center" wrapText="1"/>
    </xf>
    <xf numFmtId="0" fontId="61" fillId="0" borderId="0" xfId="8" applyFont="1" applyBorder="1" applyAlignment="1">
      <alignment horizontal="center"/>
    </xf>
    <xf numFmtId="0" fontId="61" fillId="0" borderId="0" xfId="8" applyFont="1" applyBorder="1"/>
    <xf numFmtId="0" fontId="69" fillId="0" borderId="0" xfId="8" applyFont="1" applyBorder="1"/>
    <xf numFmtId="0" fontId="61" fillId="0" borderId="0" xfId="8" applyFont="1" applyBorder="1" applyAlignment="1">
      <alignment horizontal="right" vertical="center" wrapText="1"/>
    </xf>
    <xf numFmtId="0" fontId="61" fillId="0" borderId="0" xfId="8" applyFont="1" applyAlignment="1">
      <alignment horizontal="right" vertical="center" wrapText="1"/>
    </xf>
    <xf numFmtId="0" fontId="69" fillId="0" borderId="0" xfId="8" applyFont="1" applyAlignment="1">
      <alignment vertical="center"/>
    </xf>
    <xf numFmtId="0" fontId="16" fillId="0" borderId="0" xfId="8"/>
    <xf numFmtId="0" fontId="16" fillId="0" borderId="0" xfId="8" applyFont="1"/>
    <xf numFmtId="0" fontId="16" fillId="2" borderId="0" xfId="2" applyFill="1" applyAlignment="1">
      <alignment wrapText="1"/>
    </xf>
    <xf numFmtId="0" fontId="11" fillId="2" borderId="0" xfId="2" applyFont="1" applyFill="1" applyAlignment="1">
      <alignment wrapText="1"/>
    </xf>
    <xf numFmtId="0" fontId="21" fillId="2" borderId="0" xfId="2" applyFont="1" applyFill="1" applyAlignment="1">
      <alignment wrapText="1"/>
    </xf>
    <xf numFmtId="0" fontId="20" fillId="2" borderId="0" xfId="2" applyFont="1" applyFill="1" applyAlignment="1">
      <alignment wrapText="1"/>
    </xf>
    <xf numFmtId="0" fontId="16" fillId="2" borderId="0" xfId="2" applyFont="1" applyFill="1" applyAlignment="1">
      <alignment wrapText="1"/>
    </xf>
    <xf numFmtId="0" fontId="18" fillId="2" borderId="0" xfId="2" applyFont="1" applyFill="1" applyAlignment="1">
      <alignment horizontal="center" wrapText="1"/>
    </xf>
    <xf numFmtId="0" fontId="11" fillId="2" borderId="0" xfId="2" applyFont="1" applyFill="1" applyBorder="1" applyAlignment="1">
      <alignment horizontal="right" wrapText="1"/>
    </xf>
    <xf numFmtId="0" fontId="26" fillId="2" borderId="7" xfId="2" applyFont="1" applyFill="1" applyBorder="1" applyAlignment="1">
      <alignment wrapText="1"/>
    </xf>
    <xf numFmtId="0" fontId="11" fillId="2" borderId="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/>
    </xf>
    <xf numFmtId="0" fontId="51" fillId="2" borderId="2" xfId="2" applyFont="1" applyFill="1" applyBorder="1" applyAlignment="1">
      <alignment horizontal="left" vertical="center"/>
    </xf>
    <xf numFmtId="165" fontId="16" fillId="2" borderId="2" xfId="2" applyNumberFormat="1" applyFont="1" applyFill="1" applyBorder="1" applyAlignment="1">
      <alignment horizontal="right" vertical="center"/>
    </xf>
    <xf numFmtId="165" fontId="16" fillId="2" borderId="18" xfId="2" applyNumberFormat="1" applyFont="1" applyFill="1" applyBorder="1" applyAlignment="1" applyProtection="1">
      <alignment vertical="center" wrapText="1"/>
    </xf>
    <xf numFmtId="165" fontId="16" fillId="2" borderId="2" xfId="2" applyNumberFormat="1" applyFont="1" applyFill="1" applyBorder="1" applyAlignment="1">
      <alignment vertical="center"/>
    </xf>
    <xf numFmtId="165" fontId="11" fillId="0" borderId="2" xfId="2" applyNumberFormat="1" applyFont="1" applyBorder="1" applyAlignment="1">
      <alignment vertical="center" wrapText="1"/>
    </xf>
    <xf numFmtId="0" fontId="16" fillId="2" borderId="0" xfId="2" applyFont="1" applyFill="1" applyBorder="1" applyAlignment="1"/>
    <xf numFmtId="0" fontId="24" fillId="2" borderId="0" xfId="2" applyFont="1" applyFill="1" applyBorder="1" applyAlignment="1">
      <alignment horizontal="left"/>
    </xf>
    <xf numFmtId="0" fontId="16" fillId="2" borderId="0" xfId="11" applyFont="1" applyFill="1"/>
    <xf numFmtId="165" fontId="16" fillId="2" borderId="0" xfId="11" applyNumberFormat="1" applyFont="1" applyFill="1"/>
    <xf numFmtId="0" fontId="21" fillId="0" borderId="0" xfId="2" applyFont="1" applyAlignment="1"/>
    <xf numFmtId="0" fontId="18" fillId="0" borderId="0" xfId="2" applyFont="1" applyAlignment="1">
      <alignment horizontal="center"/>
    </xf>
    <xf numFmtId="0" fontId="11" fillId="0" borderId="0" xfId="2" applyFont="1" applyBorder="1" applyAlignment="1">
      <alignment horizontal="right"/>
    </xf>
    <xf numFmtId="0" fontId="26" fillId="0" borderId="7" xfId="2" applyFont="1" applyBorder="1" applyAlignment="1"/>
    <xf numFmtId="0" fontId="16" fillId="0" borderId="2" xfId="2" applyFont="1" applyBorder="1" applyAlignment="1">
      <alignment horizontal="center" vertical="center"/>
    </xf>
    <xf numFmtId="0" fontId="51" fillId="0" borderId="2" xfId="2" applyFont="1" applyFill="1" applyBorder="1" applyAlignment="1">
      <alignment horizontal="left" vertical="center"/>
    </xf>
    <xf numFmtId="165" fontId="16" fillId="0" borderId="2" xfId="2" applyNumberFormat="1" applyFont="1" applyBorder="1" applyAlignment="1">
      <alignment horizontal="right" vertical="center" wrapText="1"/>
    </xf>
    <xf numFmtId="165" fontId="16" fillId="0" borderId="18" xfId="2" applyNumberFormat="1" applyFont="1" applyFill="1" applyBorder="1" applyAlignment="1" applyProtection="1">
      <alignment vertical="center" wrapText="1"/>
    </xf>
    <xf numFmtId="165" fontId="16" fillId="0" borderId="2" xfId="2" applyNumberFormat="1" applyFont="1" applyBorder="1" applyAlignment="1">
      <alignment vertical="center" wrapText="1"/>
    </xf>
    <xf numFmtId="0" fontId="11" fillId="0" borderId="2" xfId="2" applyFont="1" applyBorder="1" applyAlignment="1">
      <alignment vertical="center"/>
    </xf>
    <xf numFmtId="0" fontId="14" fillId="2" borderId="0" xfId="11" applyFont="1" applyFill="1" applyAlignment="1"/>
    <xf numFmtId="0" fontId="14" fillId="2" borderId="0" xfId="11" applyFont="1" applyFill="1" applyAlignment="1">
      <alignment horizontal="center"/>
    </xf>
    <xf numFmtId="0" fontId="16" fillId="2" borderId="2" xfId="11" applyFont="1" applyFill="1" applyBorder="1" applyAlignment="1">
      <alignment horizontal="center" vertical="center" wrapText="1"/>
    </xf>
    <xf numFmtId="0" fontId="19" fillId="2" borderId="2" xfId="11" applyFont="1" applyFill="1" applyBorder="1" applyAlignment="1">
      <alignment horizontal="center" vertical="center" wrapText="1"/>
    </xf>
    <xf numFmtId="0" fontId="51" fillId="2" borderId="2" xfId="8" applyFont="1" applyFill="1" applyBorder="1" applyAlignment="1">
      <alignment horizontal="left" vertical="center" wrapText="1"/>
    </xf>
    <xf numFmtId="0" fontId="22" fillId="2" borderId="0" xfId="11" applyFont="1" applyFill="1" applyAlignment="1">
      <alignment vertical="center"/>
    </xf>
    <xf numFmtId="0" fontId="24" fillId="2" borderId="0" xfId="11" applyFont="1" applyFill="1" applyAlignment="1">
      <alignment vertical="center"/>
    </xf>
    <xf numFmtId="0" fontId="24" fillId="2" borderId="13" xfId="8" applyFont="1" applyFill="1" applyBorder="1" applyAlignment="1">
      <alignment vertical="center" wrapText="1"/>
    </xf>
    <xf numFmtId="0" fontId="11" fillId="0" borderId="0" xfId="8" applyFont="1" applyAlignment="1"/>
    <xf numFmtId="0" fontId="12" fillId="0" borderId="0" xfId="8" applyFont="1" applyAlignment="1"/>
    <xf numFmtId="0" fontId="21" fillId="0" borderId="0" xfId="8" applyFont="1" applyAlignment="1"/>
    <xf numFmtId="0" fontId="20" fillId="0" borderId="0" xfId="8" applyFont="1" applyAlignment="1"/>
    <xf numFmtId="0" fontId="18" fillId="0" borderId="0" xfId="8" applyFont="1" applyAlignment="1">
      <alignment horizontal="center"/>
    </xf>
    <xf numFmtId="0" fontId="51" fillId="0" borderId="0" xfId="8" applyFont="1" applyAlignment="1">
      <alignment vertical="center"/>
    </xf>
    <xf numFmtId="0" fontId="52" fillId="0" borderId="0" xfId="8" applyFont="1" applyAlignment="1">
      <alignment vertical="center"/>
    </xf>
    <xf numFmtId="0" fontId="52" fillId="0" borderId="0" xfId="8" applyFont="1" applyBorder="1" applyAlignment="1">
      <alignment horizontal="right" vertical="center"/>
    </xf>
    <xf numFmtId="0" fontId="56" fillId="0" borderId="7" xfId="8" applyFont="1" applyBorder="1" applyAlignment="1">
      <alignment vertical="center"/>
    </xf>
    <xf numFmtId="0" fontId="52" fillId="0" borderId="2" xfId="8" applyFont="1" applyBorder="1" applyAlignment="1">
      <alignment vertical="center"/>
    </xf>
    <xf numFmtId="0" fontId="52" fillId="0" borderId="0" xfId="8" applyFont="1" applyBorder="1" applyAlignment="1">
      <alignment vertical="center"/>
    </xf>
    <xf numFmtId="0" fontId="51" fillId="0" borderId="2" xfId="8" applyFont="1" applyBorder="1" applyAlignment="1">
      <alignment horizontal="center" vertical="center"/>
    </xf>
    <xf numFmtId="0" fontId="52" fillId="0" borderId="0" xfId="8" applyFont="1" applyBorder="1" applyAlignment="1">
      <alignment horizontal="right" vertical="center" wrapText="1"/>
    </xf>
    <xf numFmtId="0" fontId="52" fillId="0" borderId="0" xfId="8" applyFont="1" applyAlignment="1">
      <alignment horizontal="right" vertical="center" wrapText="1"/>
    </xf>
    <xf numFmtId="0" fontId="52" fillId="0" borderId="0" xfId="8" applyFont="1" applyAlignment="1">
      <alignment vertical="center" wrapText="1"/>
    </xf>
    <xf numFmtId="0" fontId="16" fillId="0" borderId="0" xfId="8" applyFont="1" applyBorder="1" applyAlignment="1">
      <alignment horizontal="left"/>
    </xf>
    <xf numFmtId="0" fontId="18" fillId="0" borderId="0" xfId="8" applyFont="1" applyBorder="1" applyAlignment="1">
      <alignment horizontal="center"/>
    </xf>
    <xf numFmtId="0" fontId="16" fillId="0" borderId="0" xfId="8" applyFont="1" applyBorder="1"/>
    <xf numFmtId="0" fontId="11" fillId="0" borderId="0" xfId="8" applyFont="1" applyAlignment="1">
      <alignment horizontal="right"/>
    </xf>
    <xf numFmtId="0" fontId="52" fillId="0" borderId="0" xfId="8" applyFont="1" applyAlignment="1">
      <alignment horizontal="left" vertical="center"/>
    </xf>
    <xf numFmtId="0" fontId="11" fillId="0" borderId="2" xfId="8" applyFont="1" applyBorder="1" applyAlignment="1">
      <alignment horizontal="center" vertical="center" wrapText="1"/>
    </xf>
    <xf numFmtId="0" fontId="11" fillId="0" borderId="2" xfId="8" applyFont="1" applyBorder="1" applyAlignment="1">
      <alignment vertical="center" wrapText="1"/>
    </xf>
    <xf numFmtId="0" fontId="26" fillId="0" borderId="2" xfId="8" applyFont="1" applyBorder="1" applyAlignment="1">
      <alignment horizontal="center" vertical="center" wrapText="1"/>
    </xf>
    <xf numFmtId="0" fontId="26" fillId="0" borderId="0" xfId="8" applyFont="1"/>
    <xf numFmtId="2" fontId="16" fillId="0" borderId="2" xfId="8" applyNumberFormat="1" applyFont="1" applyBorder="1" applyAlignment="1">
      <alignment horizontal="right" vertical="center" wrapText="1"/>
    </xf>
    <xf numFmtId="2" fontId="11" fillId="0" borderId="2" xfId="8" applyNumberFormat="1" applyFont="1" applyBorder="1" applyAlignment="1">
      <alignment horizontal="right" vertical="center" wrapText="1"/>
    </xf>
    <xf numFmtId="0" fontId="11" fillId="0" borderId="0" xfId="8" applyFont="1"/>
    <xf numFmtId="0" fontId="22" fillId="0" borderId="0" xfId="8" applyFont="1" applyBorder="1" applyAlignment="1">
      <alignment vertical="center" wrapText="1"/>
    </xf>
    <xf numFmtId="2" fontId="22" fillId="0" borderId="0" xfId="8" applyNumberFormat="1" applyFont="1" applyAlignment="1">
      <alignment vertical="center" wrapText="1"/>
    </xf>
    <xf numFmtId="0" fontId="22" fillId="0" borderId="0" xfId="8" applyFont="1" applyAlignment="1">
      <alignment vertical="center" wrapText="1"/>
    </xf>
    <xf numFmtId="0" fontId="14" fillId="0" borderId="0" xfId="8" applyFont="1" applyAlignment="1"/>
    <xf numFmtId="2" fontId="16" fillId="0" borderId="2" xfId="8" applyNumberFormat="1" applyFont="1" applyBorder="1" applyAlignment="1">
      <alignment vertical="center" wrapText="1"/>
    </xf>
    <xf numFmtId="2" fontId="11" fillId="0" borderId="2" xfId="8" applyNumberFormat="1" applyFont="1" applyBorder="1" applyAlignment="1">
      <alignment vertical="center" wrapText="1"/>
    </xf>
    <xf numFmtId="0" fontId="24" fillId="2" borderId="13" xfId="8" applyFont="1" applyFill="1" applyBorder="1" applyAlignment="1">
      <alignment vertical="center"/>
    </xf>
    <xf numFmtId="0" fontId="24" fillId="2" borderId="0" xfId="8" applyFont="1" applyFill="1" applyBorder="1" applyAlignment="1">
      <alignment horizontal="left" vertical="center"/>
    </xf>
    <xf numFmtId="0" fontId="75" fillId="0" borderId="0" xfId="8" applyFont="1" applyAlignment="1"/>
    <xf numFmtId="0" fontId="61" fillId="0" borderId="0" xfId="8" applyFont="1" applyAlignment="1"/>
    <xf numFmtId="0" fontId="76" fillId="0" borderId="0" xfId="8" applyFont="1" applyAlignment="1">
      <alignment horizontal="center"/>
    </xf>
    <xf numFmtId="0" fontId="55" fillId="0" borderId="0" xfId="8" applyFont="1" applyAlignment="1">
      <alignment horizontal="center"/>
    </xf>
    <xf numFmtId="2" fontId="57" fillId="2" borderId="2" xfId="8" applyNumberFormat="1" applyFont="1" applyFill="1" applyBorder="1" applyAlignment="1">
      <alignment vertical="center" wrapText="1"/>
    </xf>
    <xf numFmtId="2" fontId="57" fillId="0" borderId="2" xfId="8" applyNumberFormat="1" applyFont="1" applyBorder="1" applyAlignment="1">
      <alignment vertical="center" wrapText="1"/>
    </xf>
    <xf numFmtId="2" fontId="55" fillId="2" borderId="2" xfId="8" applyNumberFormat="1" applyFont="1" applyFill="1" applyBorder="1" applyAlignment="1">
      <alignment vertical="center" wrapText="1"/>
    </xf>
    <xf numFmtId="0" fontId="61" fillId="0" borderId="0" xfId="8" applyFont="1"/>
    <xf numFmtId="0" fontId="55" fillId="0" borderId="0" xfId="8" applyFont="1" applyAlignment="1">
      <alignment horizontal="left" vertical="center"/>
    </xf>
    <xf numFmtId="0" fontId="69" fillId="0" borderId="2" xfId="8" applyFont="1" applyBorder="1" applyAlignment="1">
      <alignment horizontal="center" vertical="center" wrapText="1"/>
    </xf>
    <xf numFmtId="0" fontId="82" fillId="0" borderId="2" xfId="8" applyFont="1" applyBorder="1" applyAlignment="1">
      <alignment horizontal="right" vertical="center" wrapText="1"/>
    </xf>
    <xf numFmtId="2" fontId="82" fillId="2" borderId="2" xfId="8" applyNumberFormat="1" applyFont="1" applyFill="1" applyBorder="1" applyAlignment="1">
      <alignment horizontal="right" vertical="center" wrapText="1"/>
    </xf>
    <xf numFmtId="2" fontId="82" fillId="0" borderId="2" xfId="8" applyNumberFormat="1" applyFont="1" applyBorder="1" applyAlignment="1">
      <alignment horizontal="right" vertical="center" wrapText="1"/>
    </xf>
    <xf numFmtId="0" fontId="83" fillId="0" borderId="2" xfId="8" applyFont="1" applyBorder="1" applyAlignment="1">
      <alignment horizontal="right" vertical="center" wrapText="1"/>
    </xf>
    <xf numFmtId="2" fontId="83" fillId="2" borderId="2" xfId="8" applyNumberFormat="1" applyFont="1" applyFill="1" applyBorder="1" applyAlignment="1">
      <alignment horizontal="right" vertical="center" wrapText="1"/>
    </xf>
    <xf numFmtId="0" fontId="53" fillId="0" borderId="0" xfId="8" applyFont="1" applyAlignment="1">
      <alignment horizontal="right" vertical="center"/>
    </xf>
    <xf numFmtId="0" fontId="51" fillId="0" borderId="0" xfId="8" applyFont="1" applyAlignment="1">
      <alignment horizontal="center" vertical="center"/>
    </xf>
    <xf numFmtId="0" fontId="52" fillId="0" borderId="0" xfId="8" applyFont="1" applyAlignment="1">
      <alignment horizontal="center" vertical="center"/>
    </xf>
    <xf numFmtId="0" fontId="52" fillId="0" borderId="1" xfId="8" applyFont="1" applyBorder="1" applyAlignment="1">
      <alignment horizontal="center" vertical="center" wrapText="1"/>
    </xf>
    <xf numFmtId="0" fontId="56" fillId="0" borderId="2" xfId="8" applyFont="1" applyBorder="1" applyAlignment="1">
      <alignment horizontal="center" vertical="center" wrapText="1"/>
    </xf>
    <xf numFmtId="0" fontId="84" fillId="0" borderId="0" xfId="8" applyFont="1" applyBorder="1" applyAlignment="1">
      <alignment vertical="center"/>
    </xf>
    <xf numFmtId="166" fontId="57" fillId="0" borderId="2" xfId="8" applyNumberFormat="1" applyFont="1" applyBorder="1" applyAlignment="1">
      <alignment vertical="center" wrapText="1"/>
    </xf>
    <xf numFmtId="2" fontId="51" fillId="0" borderId="2" xfId="8" applyNumberFormat="1" applyFont="1" applyBorder="1" applyAlignment="1">
      <alignment horizontal="right" vertical="center"/>
    </xf>
    <xf numFmtId="2" fontId="55" fillId="0" borderId="2" xfId="8" applyNumberFormat="1" applyFont="1" applyBorder="1" applyAlignment="1">
      <alignment vertical="center" wrapText="1"/>
    </xf>
    <xf numFmtId="2" fontId="24" fillId="2" borderId="13" xfId="8" applyNumberFormat="1" applyFont="1" applyFill="1" applyBorder="1" applyAlignment="1">
      <alignment vertical="center" wrapText="1"/>
    </xf>
    <xf numFmtId="0" fontId="51" fillId="0" borderId="0" xfId="8" applyFont="1" applyBorder="1" applyAlignment="1">
      <alignment vertical="center"/>
    </xf>
    <xf numFmtId="0" fontId="51" fillId="2" borderId="2" xfId="2" applyFont="1" applyFill="1" applyBorder="1" applyAlignment="1">
      <alignment horizontal="right" vertical="center" wrapText="1"/>
    </xf>
    <xf numFmtId="0" fontId="52" fillId="2" borderId="2" xfId="2" applyFont="1" applyFill="1" applyBorder="1" applyAlignment="1">
      <alignment horizontal="right" vertical="center" wrapText="1"/>
    </xf>
    <xf numFmtId="0" fontId="60" fillId="0" borderId="2" xfId="2" applyFont="1" applyBorder="1" applyAlignment="1">
      <alignment wrapText="1"/>
    </xf>
    <xf numFmtId="1" fontId="51" fillId="2" borderId="2" xfId="2" applyNumberFormat="1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6" fillId="2" borderId="0" xfId="2" applyFont="1" applyFill="1"/>
    <xf numFmtId="0" fontId="69" fillId="2" borderId="2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top" wrapText="1"/>
    </xf>
    <xf numFmtId="0" fontId="11" fillId="2" borderId="2" xfId="2" applyFont="1" applyFill="1" applyBorder="1" applyAlignment="1">
      <alignment horizontal="center" vertical="top" wrapText="1"/>
    </xf>
    <xf numFmtId="0" fontId="52" fillId="2" borderId="0" xfId="8" applyFont="1" applyFill="1" applyAlignment="1">
      <alignment horizontal="left" vertical="center" wrapText="1"/>
    </xf>
    <xf numFmtId="0" fontId="51" fillId="0" borderId="2" xfId="8" applyFont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right" vertical="top" wrapText="1"/>
    </xf>
    <xf numFmtId="0" fontId="20" fillId="2" borderId="0" xfId="0" applyFont="1" applyFill="1" applyAlignment="1">
      <alignment horizontal="center"/>
    </xf>
    <xf numFmtId="0" fontId="16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1" fillId="2" borderId="2" xfId="8" applyFont="1" applyFill="1" applyBorder="1" applyAlignment="1">
      <alignment horizontal="center" vertical="center" wrapText="1"/>
    </xf>
    <xf numFmtId="0" fontId="51" fillId="2" borderId="2" xfId="8" applyFont="1" applyFill="1" applyBorder="1" applyAlignment="1">
      <alignment horizontal="right" vertical="center" wrapText="1"/>
    </xf>
    <xf numFmtId="0" fontId="51" fillId="2" borderId="0" xfId="8" applyFont="1" applyFill="1" applyAlignment="1">
      <alignment horizontal="center" vertical="center" wrapText="1"/>
    </xf>
    <xf numFmtId="0" fontId="51" fillId="2" borderId="2" xfId="2" applyFont="1" applyFill="1" applyBorder="1" applyAlignment="1">
      <alignment horizontal="center" vertical="center" wrapText="1"/>
    </xf>
    <xf numFmtId="0" fontId="51" fillId="2" borderId="0" xfId="2" applyFont="1" applyFill="1"/>
    <xf numFmtId="0" fontId="21" fillId="2" borderId="0" xfId="0" applyFont="1" applyFill="1" applyAlignment="1"/>
    <xf numFmtId="0" fontId="15" fillId="2" borderId="0" xfId="0" applyFont="1" applyFill="1" applyAlignment="1"/>
    <xf numFmtId="0" fontId="20" fillId="2" borderId="0" xfId="0" applyFont="1" applyFill="1" applyAlignment="1"/>
    <xf numFmtId="0" fontId="45" fillId="2" borderId="0" xfId="1" applyFill="1"/>
    <xf numFmtId="0" fontId="45" fillId="2" borderId="0" xfId="1" applyFill="1" applyAlignment="1">
      <alignment horizontal="left"/>
    </xf>
    <xf numFmtId="0" fontId="30" fillId="2" borderId="0" xfId="1" applyFont="1" applyFill="1" applyAlignment="1">
      <alignment horizontal="left"/>
    </xf>
    <xf numFmtId="0" fontId="27" fillId="2" borderId="0" xfId="1" applyFont="1" applyFill="1" applyBorder="1" applyAlignment="1">
      <alignment horizontal="left"/>
    </xf>
    <xf numFmtId="0" fontId="45" fillId="2" borderId="7" xfId="1" applyFill="1" applyBorder="1" applyAlignment="1">
      <alignment horizontal="center"/>
    </xf>
    <xf numFmtId="0" fontId="33" fillId="2" borderId="0" xfId="1" applyFont="1" applyFill="1"/>
    <xf numFmtId="0" fontId="27" fillId="2" borderId="0" xfId="1" applyFont="1" applyFill="1" applyAlignment="1">
      <alignment horizontal="center" vertical="center"/>
    </xf>
    <xf numFmtId="0" fontId="65" fillId="2" borderId="2" xfId="1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0" fontId="66" fillId="2" borderId="2" xfId="1" applyFont="1" applyFill="1" applyBorder="1" applyAlignment="1">
      <alignment horizontal="center" vertical="center" wrapText="1"/>
    </xf>
    <xf numFmtId="0" fontId="67" fillId="2" borderId="2" xfId="1" applyFont="1" applyFill="1" applyBorder="1" applyAlignment="1">
      <alignment horizontal="center" vertical="center" wrapText="1"/>
    </xf>
    <xf numFmtId="0" fontId="68" fillId="2" borderId="0" xfId="1" applyFont="1" applyFill="1" applyAlignment="1">
      <alignment horizontal="center" vertical="center"/>
    </xf>
    <xf numFmtId="0" fontId="27" fillId="2" borderId="0" xfId="1" applyFont="1" applyFill="1" applyAlignment="1">
      <alignment horizontal="center"/>
    </xf>
    <xf numFmtId="0" fontId="45" fillId="2" borderId="0" xfId="1" applyFill="1" applyBorder="1"/>
    <xf numFmtId="0" fontId="45" fillId="2" borderId="0" xfId="1" applyFill="1" applyAlignment="1">
      <alignment vertical="center"/>
    </xf>
    <xf numFmtId="0" fontId="46" fillId="2" borderId="0" xfId="1" applyFont="1" applyFill="1" applyBorder="1"/>
    <xf numFmtId="0" fontId="62" fillId="2" borderId="2" xfId="1" applyFont="1" applyFill="1" applyBorder="1" applyAlignment="1">
      <alignment vertical="top" wrapText="1"/>
    </xf>
    <xf numFmtId="2" fontId="62" fillId="2" borderId="2" xfId="1" applyNumberFormat="1" applyFont="1" applyFill="1" applyBorder="1" applyAlignment="1">
      <alignment vertical="top" wrapText="1"/>
    </xf>
    <xf numFmtId="0" fontId="62" fillId="2" borderId="2" xfId="1" applyFont="1" applyFill="1" applyBorder="1" applyAlignment="1"/>
    <xf numFmtId="0" fontId="63" fillId="2" borderId="2" xfId="1" applyFont="1" applyFill="1" applyBorder="1" applyAlignment="1"/>
    <xf numFmtId="0" fontId="85" fillId="2" borderId="2" xfId="1" applyFont="1" applyFill="1" applyBorder="1" applyAlignment="1">
      <alignment vertical="center" wrapText="1"/>
    </xf>
    <xf numFmtId="2" fontId="85" fillId="2" borderId="2" xfId="1" applyNumberFormat="1" applyFont="1" applyFill="1" applyBorder="1" applyAlignment="1">
      <alignment vertical="center" wrapText="1"/>
    </xf>
    <xf numFmtId="2" fontId="31" fillId="2" borderId="2" xfId="1" applyNumberFormat="1" applyFont="1" applyFill="1" applyBorder="1" applyAlignment="1">
      <alignment vertical="center" wrapText="1"/>
    </xf>
    <xf numFmtId="0" fontId="63" fillId="2" borderId="2" xfId="1" applyFont="1" applyFill="1" applyBorder="1" applyAlignment="1">
      <alignment vertical="center"/>
    </xf>
    <xf numFmtId="2" fontId="63" fillId="2" borderId="2" xfId="1" applyNumberFormat="1" applyFont="1" applyFill="1" applyBorder="1" applyAlignment="1">
      <alignment vertical="center"/>
    </xf>
    <xf numFmtId="0" fontId="62" fillId="2" borderId="2" xfId="1" applyFont="1" applyFill="1" applyBorder="1" applyAlignment="1">
      <alignment vertical="center" wrapText="1"/>
    </xf>
    <xf numFmtId="2" fontId="62" fillId="2" borderId="2" xfId="1" applyNumberFormat="1" applyFont="1" applyFill="1" applyBorder="1" applyAlignment="1">
      <alignment vertical="center" wrapText="1"/>
    </xf>
    <xf numFmtId="0" fontId="27" fillId="2" borderId="0" xfId="1" applyFont="1" applyFill="1" applyBorder="1" applyAlignment="1">
      <alignment horizontal="center" vertical="center"/>
    </xf>
    <xf numFmtId="0" fontId="68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/>
    </xf>
    <xf numFmtId="0" fontId="45" fillId="2" borderId="0" xfId="1" applyFill="1" applyBorder="1" applyAlignment="1">
      <alignment vertical="center"/>
    </xf>
    <xf numFmtId="0" fontId="12" fillId="2" borderId="0" xfId="0" applyFont="1" applyFill="1" applyAlignment="1"/>
    <xf numFmtId="0" fontId="23" fillId="2" borderId="0" xfId="0" applyFont="1" applyFill="1" applyAlignment="1">
      <alignment horizontal="right"/>
    </xf>
    <xf numFmtId="0" fontId="15" fillId="2" borderId="0" xfId="0" applyFont="1" applyFill="1"/>
    <xf numFmtId="0" fontId="14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26" fillId="2" borderId="2" xfId="0" applyFont="1" applyFill="1" applyBorder="1" applyAlignment="1">
      <alignment horizontal="center"/>
    </xf>
    <xf numFmtId="0" fontId="26" fillId="2" borderId="2" xfId="2" applyFont="1" applyFill="1" applyBorder="1" applyAlignment="1">
      <alignment horizontal="center" wrapText="1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/>
    <xf numFmtId="0" fontId="5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2" borderId="2" xfId="2" applyFont="1" applyFill="1" applyBorder="1" applyAlignment="1">
      <alignment horizontal="left" vertical="center" wrapText="1"/>
    </xf>
    <xf numFmtId="2" fontId="11" fillId="2" borderId="0" xfId="0" applyNumberFormat="1" applyFont="1" applyFill="1" applyAlignment="1">
      <alignment horizontal="center" vertical="top" wrapText="1"/>
    </xf>
    <xf numFmtId="0" fontId="11" fillId="2" borderId="2" xfId="2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11" fillId="2" borderId="0" xfId="2" applyFont="1" applyFill="1" applyBorder="1" applyAlignment="1">
      <alignment horizontal="left" vertical="center"/>
    </xf>
    <xf numFmtId="0" fontId="50" fillId="2" borderId="0" xfId="0" applyFont="1" applyFill="1" applyBorder="1"/>
    <xf numFmtId="0" fontId="39" fillId="2" borderId="0" xfId="0" applyFont="1" applyFill="1" applyAlignment="1">
      <alignment horizontal="center"/>
    </xf>
    <xf numFmtId="0" fontId="47" fillId="2" borderId="0" xfId="0" applyFont="1" applyFill="1" applyAlignment="1">
      <alignment horizontal="center"/>
    </xf>
    <xf numFmtId="0" fontId="42" fillId="2" borderId="0" xfId="0" applyFont="1" applyFill="1" applyBorder="1" applyAlignment="1"/>
    <xf numFmtId="0" fontId="42" fillId="2" borderId="1" xfId="0" applyFont="1" applyFill="1" applyBorder="1" applyAlignment="1">
      <alignment vertical="center" wrapText="1"/>
    </xf>
    <xf numFmtId="0" fontId="43" fillId="2" borderId="2" xfId="0" quotePrefix="1" applyFont="1" applyFill="1" applyBorder="1" applyAlignment="1">
      <alignment horizontal="center" vertical="top" wrapText="1"/>
    </xf>
    <xf numFmtId="0" fontId="22" fillId="2" borderId="0" xfId="2" applyFont="1" applyFill="1" applyAlignment="1">
      <alignment wrapText="1"/>
    </xf>
    <xf numFmtId="0" fontId="24" fillId="2" borderId="0" xfId="2" applyFont="1" applyFill="1" applyAlignment="1">
      <alignment wrapText="1"/>
    </xf>
    <xf numFmtId="0" fontId="48" fillId="2" borderId="0" xfId="0" applyFont="1" applyFill="1"/>
    <xf numFmtId="0" fontId="52" fillId="2" borderId="0" xfId="2" applyFont="1" applyFill="1" applyAlignment="1">
      <alignment vertical="center" wrapText="1"/>
    </xf>
    <xf numFmtId="0" fontId="51" fillId="2" borderId="0" xfId="2" applyFont="1" applyFill="1" applyAlignment="1">
      <alignment vertical="center" wrapText="1"/>
    </xf>
    <xf numFmtId="0" fontId="16" fillId="2" borderId="0" xfId="0" applyFont="1" applyFill="1" applyAlignment="1"/>
    <xf numFmtId="0" fontId="0" fillId="2" borderId="0" xfId="0" applyFill="1" applyAlignment="1"/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9" fillId="2" borderId="2" xfId="0" applyFont="1" applyFill="1" applyBorder="1" applyAlignment="1">
      <alignment horizontal="center" vertical="top" wrapText="1"/>
    </xf>
    <xf numFmtId="0" fontId="19" fillId="2" borderId="0" xfId="0" applyFont="1" applyFill="1"/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6" fillId="2" borderId="0" xfId="2" applyFill="1" applyAlignment="1"/>
    <xf numFmtId="0" fontId="11" fillId="2" borderId="2" xfId="0" applyFont="1" applyFill="1" applyBorder="1" applyAlignment="1">
      <alignment vertical="center"/>
    </xf>
    <xf numFmtId="0" fontId="69" fillId="2" borderId="2" xfId="0" applyFont="1" applyFill="1" applyBorder="1" applyAlignment="1">
      <alignment vertical="center"/>
    </xf>
    <xf numFmtId="0" fontId="69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right"/>
    </xf>
    <xf numFmtId="0" fontId="61" fillId="2" borderId="0" xfId="2" applyFont="1" applyFill="1" applyBorder="1" applyAlignment="1">
      <alignment horizontal="right" vertical="center" wrapText="1"/>
    </xf>
    <xf numFmtId="0" fontId="61" fillId="2" borderId="0" xfId="2" applyFont="1" applyFill="1" applyAlignment="1">
      <alignment horizontal="right" vertical="center" wrapText="1"/>
    </xf>
    <xf numFmtId="0" fontId="69" fillId="2" borderId="0" xfId="2" applyFont="1" applyFill="1" applyAlignment="1">
      <alignment vertical="center"/>
    </xf>
    <xf numFmtId="0" fontId="16" fillId="2" borderId="0" xfId="2" applyFont="1" applyFill="1" applyBorder="1"/>
    <xf numFmtId="0" fontId="11" fillId="2" borderId="9" xfId="2" applyFont="1" applyFill="1" applyBorder="1" applyAlignment="1">
      <alignment horizontal="center" vertical="center" wrapText="1"/>
    </xf>
    <xf numFmtId="1" fontId="22" fillId="2" borderId="2" xfId="2" applyNumberFormat="1" applyFont="1" applyFill="1" applyBorder="1" applyAlignment="1">
      <alignment horizontal="right" vertical="center" wrapText="1"/>
    </xf>
    <xf numFmtId="0" fontId="11" fillId="2" borderId="13" xfId="2" applyFont="1" applyFill="1" applyBorder="1" applyAlignme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/>
    <xf numFmtId="1" fontId="16" fillId="2" borderId="2" xfId="2" applyNumberFormat="1" applyFont="1" applyFill="1" applyBorder="1" applyAlignment="1">
      <alignment horizontal="right" vertical="center" wrapText="1"/>
    </xf>
    <xf numFmtId="1" fontId="16" fillId="2" borderId="8" xfId="2" applyNumberFormat="1" applyFont="1" applyFill="1" applyBorder="1" applyAlignment="1">
      <alignment horizontal="right" vertical="center" wrapText="1"/>
    </xf>
    <xf numFmtId="1" fontId="16" fillId="2" borderId="6" xfId="2" applyNumberFormat="1" applyFont="1" applyFill="1" applyBorder="1" applyAlignment="1">
      <alignment horizontal="right" vertical="center" wrapText="1"/>
    </xf>
    <xf numFmtId="1" fontId="11" fillId="2" borderId="2" xfId="2" applyNumberFormat="1" applyFont="1" applyFill="1" applyBorder="1" applyAlignment="1">
      <alignment horizontal="right" vertical="center" wrapText="1"/>
    </xf>
    <xf numFmtId="0" fontId="52" fillId="2" borderId="2" xfId="8" applyFont="1" applyFill="1" applyBorder="1" applyAlignment="1">
      <alignment horizontal="center" vertical="center" wrapText="1"/>
    </xf>
    <xf numFmtId="1" fontId="51" fillId="0" borderId="2" xfId="8" applyNumberFormat="1" applyFont="1" applyBorder="1" applyAlignment="1">
      <alignment horizontal="right" vertical="center" wrapText="1"/>
    </xf>
    <xf numFmtId="0" fontId="16" fillId="2" borderId="0" xfId="8" applyFill="1"/>
    <xf numFmtId="0" fontId="23" fillId="2" borderId="0" xfId="8" applyFont="1" applyFill="1" applyAlignment="1">
      <alignment horizontal="left"/>
    </xf>
    <xf numFmtId="0" fontId="16" fillId="2" borderId="0" xfId="8" applyFont="1" applyFill="1"/>
    <xf numFmtId="0" fontId="11" fillId="2" borderId="0" xfId="8" applyFont="1" applyFill="1" applyAlignment="1">
      <alignment horizontal="center"/>
    </xf>
    <xf numFmtId="0" fontId="51" fillId="2" borderId="0" xfId="8" applyFont="1" applyFill="1" applyAlignment="1">
      <alignment vertical="center" wrapText="1"/>
    </xf>
    <xf numFmtId="0" fontId="51" fillId="2" borderId="0" xfId="8" applyFont="1" applyFill="1" applyBorder="1" applyAlignment="1">
      <alignment horizontal="center" vertical="center" wrapText="1"/>
    </xf>
    <xf numFmtId="0" fontId="52" fillId="2" borderId="0" xfId="8" applyFont="1" applyFill="1" applyBorder="1" applyAlignment="1">
      <alignment horizontal="center" vertical="center" wrapText="1"/>
    </xf>
    <xf numFmtId="0" fontId="52" fillId="2" borderId="0" xfId="8" applyFont="1" applyFill="1" applyBorder="1" applyAlignment="1">
      <alignment vertical="center" wrapText="1"/>
    </xf>
    <xf numFmtId="0" fontId="51" fillId="2" borderId="0" xfId="8" applyFont="1" applyFill="1" applyBorder="1" applyAlignment="1">
      <alignment vertical="center" wrapText="1"/>
    </xf>
    <xf numFmtId="0" fontId="61" fillId="2" borderId="0" xfId="8" applyFont="1" applyFill="1" applyBorder="1" applyAlignment="1">
      <alignment horizontal="right" vertical="center" wrapText="1"/>
    </xf>
    <xf numFmtId="0" fontId="61" fillId="2" borderId="0" xfId="8" applyFont="1" applyFill="1" applyAlignment="1">
      <alignment horizontal="right" vertical="center" wrapText="1"/>
    </xf>
    <xf numFmtId="0" fontId="69" fillId="2" borderId="0" xfId="8" applyFont="1" applyFill="1" applyAlignment="1">
      <alignment vertical="center"/>
    </xf>
    <xf numFmtId="0" fontId="69" fillId="2" borderId="0" xfId="8" applyFont="1" applyFill="1"/>
    <xf numFmtId="0" fontId="75" fillId="2" borderId="0" xfId="8" applyFont="1" applyFill="1" applyAlignment="1"/>
    <xf numFmtId="0" fontId="61" fillId="2" borderId="0" xfId="8" applyFont="1" applyFill="1" applyAlignment="1"/>
    <xf numFmtId="0" fontId="76" fillId="2" borderId="0" xfId="8" applyFont="1" applyFill="1" applyAlignment="1">
      <alignment horizontal="center"/>
    </xf>
    <xf numFmtId="0" fontId="55" fillId="2" borderId="0" xfId="8" applyFont="1" applyFill="1" applyAlignment="1">
      <alignment horizontal="center"/>
    </xf>
    <xf numFmtId="0" fontId="61" fillId="2" borderId="7" xfId="8" applyFont="1" applyFill="1" applyBorder="1" applyAlignment="1">
      <alignment horizontal="left"/>
    </xf>
    <xf numFmtId="0" fontId="77" fillId="2" borderId="7" xfId="8" applyFont="1" applyFill="1" applyBorder="1" applyAlignment="1">
      <alignment horizontal="left"/>
    </xf>
    <xf numFmtId="0" fontId="51" fillId="2" borderId="0" xfId="8" applyFont="1" applyFill="1"/>
    <xf numFmtId="0" fontId="51" fillId="2" borderId="2" xfId="8" applyFont="1" applyFill="1" applyBorder="1" applyAlignment="1">
      <alignment horizontal="center" vertical="center"/>
    </xf>
    <xf numFmtId="0" fontId="52" fillId="2" borderId="2" xfId="8" applyFont="1" applyFill="1" applyBorder="1" applyAlignment="1">
      <alignment vertical="center"/>
    </xf>
    <xf numFmtId="0" fontId="83" fillId="2" borderId="2" xfId="8" applyFont="1" applyFill="1" applyBorder="1" applyAlignment="1">
      <alignment horizontal="right" vertical="center" wrapText="1"/>
    </xf>
    <xf numFmtId="0" fontId="61" fillId="2" borderId="0" xfId="8" applyFont="1" applyFill="1"/>
    <xf numFmtId="0" fontId="52" fillId="2" borderId="0" xfId="8" applyFont="1" applyFill="1" applyBorder="1" applyAlignment="1">
      <alignment horizontal="right" vertical="center" wrapText="1"/>
    </xf>
    <xf numFmtId="2" fontId="52" fillId="2" borderId="0" xfId="8" applyNumberFormat="1" applyFont="1" applyFill="1" applyAlignment="1">
      <alignment horizontal="right" vertical="center" wrapText="1"/>
    </xf>
    <xf numFmtId="0" fontId="52" fillId="2" borderId="0" xfId="8" applyFont="1" applyFill="1" applyAlignment="1">
      <alignment horizontal="right" vertical="center" wrapText="1"/>
    </xf>
    <xf numFmtId="0" fontId="51" fillId="2" borderId="0" xfId="8" applyFont="1" applyFill="1" applyAlignment="1">
      <alignment vertical="center"/>
    </xf>
    <xf numFmtId="2" fontId="51" fillId="2" borderId="0" xfId="8" applyNumberFormat="1" applyFont="1" applyFill="1" applyAlignment="1">
      <alignment vertical="center"/>
    </xf>
    <xf numFmtId="2" fontId="52" fillId="2" borderId="0" xfId="8" applyNumberFormat="1" applyFont="1" applyFill="1" applyAlignment="1">
      <alignment vertical="center" wrapText="1"/>
    </xf>
    <xf numFmtId="0" fontId="69" fillId="0" borderId="0" xfId="0" applyFont="1"/>
    <xf numFmtId="0" fontId="55" fillId="0" borderId="0" xfId="0" applyFont="1" applyAlignment="1"/>
    <xf numFmtId="0" fontId="75" fillId="0" borderId="0" xfId="0" applyFont="1" applyAlignment="1"/>
    <xf numFmtId="0" fontId="75" fillId="0" borderId="0" xfId="0" applyFont="1" applyAlignment="1">
      <alignment horizontal="center"/>
    </xf>
    <xf numFmtId="0" fontId="61" fillId="0" borderId="0" xfId="0" applyFont="1"/>
    <xf numFmtId="0" fontId="90" fillId="0" borderId="0" xfId="0" applyFont="1" applyBorder="1" applyAlignment="1">
      <alignment vertical="top"/>
    </xf>
    <xf numFmtId="0" fontId="69" fillId="0" borderId="0" xfId="0" applyFont="1" applyAlignment="1">
      <alignment horizontal="center" vertical="center"/>
    </xf>
    <xf numFmtId="0" fontId="92" fillId="0" borderId="2" xfId="0" applyFont="1" applyBorder="1" applyAlignment="1">
      <alignment horizontal="center"/>
    </xf>
    <xf numFmtId="0" fontId="93" fillId="0" borderId="2" xfId="0" applyFont="1" applyBorder="1" applyAlignment="1">
      <alignment horizontal="center" vertical="center" wrapText="1"/>
    </xf>
    <xf numFmtId="0" fontId="51" fillId="0" borderId="0" xfId="2" applyFont="1" applyAlignment="1">
      <alignment wrapText="1"/>
    </xf>
    <xf numFmtId="0" fontId="52" fillId="0" borderId="0" xfId="2" applyFont="1" applyAlignment="1">
      <alignment wrapText="1"/>
    </xf>
    <xf numFmtId="0" fontId="94" fillId="0" borderId="0" xfId="0" applyFont="1"/>
    <xf numFmtId="0" fontId="69" fillId="0" borderId="0" xfId="2" applyFont="1"/>
    <xf numFmtId="0" fontId="42" fillId="0" borderId="2" xfId="0" applyFont="1" applyBorder="1" applyAlignment="1">
      <alignment horizontal="center" vertical="center" wrapText="1"/>
    </xf>
    <xf numFmtId="0" fontId="52" fillId="0" borderId="0" xfId="12" applyFont="1"/>
    <xf numFmtId="0" fontId="51" fillId="0" borderId="0" xfId="0" applyFont="1"/>
    <xf numFmtId="0" fontId="52" fillId="0" borderId="0" xfId="0" applyFont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52" fillId="0" borderId="2" xfId="12" applyFont="1" applyBorder="1"/>
    <xf numFmtId="0" fontId="52" fillId="0" borderId="2" xfId="12" applyFont="1" applyBorder="1" applyAlignment="1">
      <alignment horizontal="center"/>
    </xf>
    <xf numFmtId="0" fontId="51" fillId="0" borderId="2" xfId="13" applyFont="1" applyFill="1" applyBorder="1" applyAlignment="1">
      <alignment horizontal="center" vertical="center" wrapText="1"/>
    </xf>
    <xf numFmtId="0" fontId="51" fillId="0" borderId="2" xfId="13" applyFont="1" applyBorder="1" applyAlignment="1">
      <alignment vertical="center"/>
    </xf>
    <xf numFmtId="0" fontId="51" fillId="0" borderId="2" xfId="13" applyFont="1" applyBorder="1" applyAlignment="1">
      <alignment horizontal="left" vertical="center"/>
    </xf>
    <xf numFmtId="0" fontId="51" fillId="0" borderId="0" xfId="12" applyFont="1"/>
    <xf numFmtId="0" fontId="51" fillId="0" borderId="2" xfId="12" applyFont="1" applyBorder="1"/>
    <xf numFmtId="0" fontId="52" fillId="0" borderId="2" xfId="12" applyFont="1" applyBorder="1" applyAlignment="1">
      <alignment horizontal="center" vertical="top" wrapText="1"/>
    </xf>
    <xf numFmtId="0" fontId="52" fillId="0" borderId="2" xfId="12" applyFont="1" applyFill="1" applyBorder="1" applyAlignment="1">
      <alignment vertical="top" wrapText="1"/>
    </xf>
    <xf numFmtId="0" fontId="52" fillId="0" borderId="2" xfId="12" applyFont="1" applyBorder="1" applyAlignment="1">
      <alignment horizontal="left" vertical="center"/>
    </xf>
    <xf numFmtId="0" fontId="51" fillId="0" borderId="2" xfId="12" applyFont="1" applyBorder="1" applyAlignment="1">
      <alignment horizontal="center"/>
    </xf>
    <xf numFmtId="0" fontId="52" fillId="0" borderId="2" xfId="12" applyFont="1" applyFill="1" applyBorder="1"/>
    <xf numFmtId="0" fontId="51" fillId="0" borderId="2" xfId="12" applyFont="1" applyFill="1" applyBorder="1"/>
    <xf numFmtId="0" fontId="52" fillId="0" borderId="2" xfId="12" applyFont="1" applyBorder="1" applyAlignment="1">
      <alignment horizontal="left"/>
    </xf>
    <xf numFmtId="0" fontId="51" fillId="0" borderId="2" xfId="13" applyFont="1" applyFill="1" applyBorder="1" applyAlignment="1">
      <alignment horizontal="center" vertical="center"/>
    </xf>
    <xf numFmtId="0" fontId="52" fillId="0" borderId="0" xfId="12" applyFont="1" applyAlignment="1">
      <alignment horizontal="left" vertical="center"/>
    </xf>
    <xf numFmtId="0" fontId="52" fillId="0" borderId="2" xfId="12" applyFont="1" applyBorder="1" applyAlignment="1">
      <alignment horizontal="center" vertical="center"/>
    </xf>
    <xf numFmtId="0" fontId="52" fillId="0" borderId="0" xfId="12" applyFont="1" applyBorder="1" applyAlignment="1">
      <alignment horizontal="left" vertical="center"/>
    </xf>
    <xf numFmtId="0" fontId="95" fillId="0" borderId="2" xfId="12" applyFont="1" applyBorder="1" applyAlignment="1">
      <alignment horizontal="left" vertical="center"/>
    </xf>
    <xf numFmtId="0" fontId="51" fillId="0" borderId="2" xfId="12" applyFont="1" applyBorder="1" applyAlignment="1">
      <alignment horizontal="left" vertical="center"/>
    </xf>
    <xf numFmtId="0" fontId="52" fillId="0" borderId="0" xfId="12" applyFont="1" applyBorder="1"/>
    <xf numFmtId="0" fontId="56" fillId="2" borderId="3" xfId="12" quotePrefix="1" applyFont="1" applyFill="1" applyBorder="1" applyAlignment="1">
      <alignment horizontal="center" vertical="center" wrapText="1"/>
    </xf>
    <xf numFmtId="0" fontId="52" fillId="2" borderId="2" xfId="12" quotePrefix="1" applyFont="1" applyFill="1" applyBorder="1" applyAlignment="1">
      <alignment horizontal="center" vertical="center" wrapText="1"/>
    </xf>
    <xf numFmtId="0" fontId="55" fillId="0" borderId="0" xfId="12" applyFont="1"/>
    <xf numFmtId="0" fontId="56" fillId="0" borderId="0" xfId="12" applyFont="1"/>
    <xf numFmtId="0" fontId="52" fillId="0" borderId="0" xfId="12" applyFont="1" applyAlignment="1">
      <alignment horizontal="center"/>
    </xf>
    <xf numFmtId="0" fontId="57" fillId="0" borderId="2" xfId="0" applyFont="1" applyBorder="1" applyAlignment="1">
      <alignment horizontal="center" vertical="center"/>
    </xf>
    <xf numFmtId="0" fontId="69" fillId="0" borderId="2" xfId="0" applyFont="1" applyFill="1" applyBorder="1" applyAlignment="1">
      <alignment horizontal="left" vertical="center"/>
    </xf>
    <xf numFmtId="1" fontId="51" fillId="2" borderId="2" xfId="0" applyNumberFormat="1" applyFont="1" applyFill="1" applyBorder="1" applyAlignment="1">
      <alignment horizontal="right" vertical="center" wrapText="1"/>
    </xf>
    <xf numFmtId="2" fontId="51" fillId="2" borderId="2" xfId="0" applyNumberFormat="1" applyFont="1" applyFill="1" applyBorder="1" applyAlignment="1">
      <alignment horizontal="right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1" fontId="55" fillId="2" borderId="2" xfId="0" applyNumberFormat="1" applyFont="1" applyFill="1" applyBorder="1" applyAlignment="1">
      <alignment vertical="center" wrapText="1"/>
    </xf>
    <xf numFmtId="0" fontId="55" fillId="2" borderId="2" xfId="0" applyFont="1" applyFill="1" applyBorder="1" applyAlignment="1">
      <alignment vertical="center" wrapText="1"/>
    </xf>
    <xf numFmtId="0" fontId="61" fillId="0" borderId="0" xfId="0" applyFont="1" applyBorder="1"/>
    <xf numFmtId="1" fontId="22" fillId="0" borderId="2" xfId="0" applyNumberFormat="1" applyFont="1" applyBorder="1" applyAlignment="1">
      <alignment horizontal="right" vertical="center" wrapText="1"/>
    </xf>
    <xf numFmtId="2" fontId="0" fillId="0" borderId="2" xfId="0" applyNumberFormat="1" applyBorder="1" applyAlignment="1">
      <alignment horizontal="right" vertical="center" wrapText="1"/>
    </xf>
    <xf numFmtId="2" fontId="22" fillId="0" borderId="2" xfId="0" applyNumberFormat="1" applyFont="1" applyBorder="1" applyAlignment="1">
      <alignment horizontal="right" vertical="center" wrapText="1"/>
    </xf>
    <xf numFmtId="1" fontId="15" fillId="0" borderId="2" xfId="0" applyNumberFormat="1" applyFont="1" applyBorder="1" applyAlignment="1">
      <alignment vertical="center" wrapText="1"/>
    </xf>
    <xf numFmtId="2" fontId="15" fillId="0" borderId="2" xfId="0" applyNumberFormat="1" applyFont="1" applyBorder="1" applyAlignment="1">
      <alignment horizontal="right" vertical="center" wrapText="1"/>
    </xf>
    <xf numFmtId="2" fontId="15" fillId="0" borderId="2" xfId="0" applyNumberFormat="1" applyFont="1" applyBorder="1" applyAlignment="1">
      <alignment vertical="center" wrapText="1"/>
    </xf>
    <xf numFmtId="0" fontId="52" fillId="0" borderId="0" xfId="8" applyFont="1" applyBorder="1" applyAlignment="1">
      <alignment horizontal="left" vertical="center" wrapText="1"/>
    </xf>
    <xf numFmtId="0" fontId="51" fillId="0" borderId="2" xfId="8" applyFont="1" applyBorder="1" applyAlignment="1">
      <alignment vertical="center"/>
    </xf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91" fillId="0" borderId="2" xfId="0" applyFont="1" applyBorder="1" applyAlignment="1">
      <alignment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61" fillId="0" borderId="0" xfId="1" applyFont="1"/>
    <xf numFmtId="0" fontId="61" fillId="0" borderId="0" xfId="1" applyFont="1" applyAlignment="1">
      <alignment horizontal="center"/>
    </xf>
    <xf numFmtId="0" fontId="77" fillId="0" borderId="0" xfId="1" applyFont="1" applyAlignment="1">
      <alignment horizontal="left"/>
    </xf>
    <xf numFmtId="0" fontId="55" fillId="0" borderId="0" xfId="1" applyFont="1"/>
    <xf numFmtId="0" fontId="61" fillId="0" borderId="0" xfId="1" applyFont="1" applyAlignment="1">
      <alignment vertical="center"/>
    </xf>
    <xf numFmtId="0" fontId="61" fillId="0" borderId="0" xfId="1" applyFont="1" applyBorder="1"/>
    <xf numFmtId="0" fontId="61" fillId="2" borderId="2" xfId="1" applyFont="1" applyFill="1" applyBorder="1" applyAlignment="1">
      <alignment horizontal="center" vertical="center"/>
    </xf>
    <xf numFmtId="0" fontId="77" fillId="0" borderId="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center" vertical="center" wrapText="1"/>
    </xf>
    <xf numFmtId="0" fontId="97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1" fillId="2" borderId="7" xfId="0" applyFont="1" applyFill="1" applyBorder="1" applyAlignment="1"/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right" vertical="center" wrapText="1"/>
    </xf>
    <xf numFmtId="0" fontId="55" fillId="2" borderId="0" xfId="0" applyFont="1" applyFill="1" applyAlignment="1">
      <alignment horizontal="right" vertical="center" wrapText="1"/>
    </xf>
    <xf numFmtId="0" fontId="57" fillId="2" borderId="0" xfId="0" applyFont="1" applyFill="1" applyAlignment="1">
      <alignment vertical="center"/>
    </xf>
    <xf numFmtId="1" fontId="51" fillId="2" borderId="2" xfId="0" applyNumberFormat="1" applyFont="1" applyFill="1" applyBorder="1" applyAlignment="1">
      <alignment vertical="center"/>
    </xf>
    <xf numFmtId="0" fontId="51" fillId="2" borderId="5" xfId="0" applyFont="1" applyFill="1" applyBorder="1" applyAlignment="1">
      <alignment vertical="center"/>
    </xf>
    <xf numFmtId="0" fontId="16" fillId="3" borderId="0" xfId="0" applyFont="1" applyFill="1" applyAlignment="1">
      <alignment vertical="center" wrapText="1"/>
    </xf>
    <xf numFmtId="0" fontId="57" fillId="0" borderId="2" xfId="0" applyFont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left" vertical="center" wrapText="1"/>
    </xf>
    <xf numFmtId="0" fontId="51" fillId="2" borderId="2" xfId="0" applyFont="1" applyFill="1" applyBorder="1" applyAlignment="1">
      <alignment vertical="center"/>
    </xf>
    <xf numFmtId="0" fontId="12" fillId="2" borderId="0" xfId="0" applyFont="1" applyFill="1" applyAlignment="1">
      <alignment horizontal="left"/>
    </xf>
    <xf numFmtId="0" fontId="51" fillId="0" borderId="2" xfId="0" applyFont="1" applyFill="1" applyBorder="1" applyAlignment="1">
      <alignment horizontal="left" vertical="center" wrapText="1"/>
    </xf>
    <xf numFmtId="2" fontId="51" fillId="2" borderId="2" xfId="0" applyNumberFormat="1" applyFont="1" applyFill="1" applyBorder="1" applyAlignment="1">
      <alignment vertical="center"/>
    </xf>
    <xf numFmtId="165" fontId="51" fillId="2" borderId="2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0" fillId="0" borderId="0" xfId="0" applyAlignment="1">
      <alignment wrapText="1"/>
    </xf>
    <xf numFmtId="0" fontId="4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 wrapText="1"/>
    </xf>
    <xf numFmtId="0" fontId="41" fillId="2" borderId="2" xfId="0" quotePrefix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2" borderId="0" xfId="0" applyFont="1" applyFill="1" applyAlignment="1">
      <alignment vertical="center"/>
    </xf>
    <xf numFmtId="0" fontId="43" fillId="0" borderId="0" xfId="0" applyFont="1" applyBorder="1" applyAlignment="1">
      <alignment vertical="center"/>
    </xf>
    <xf numFmtId="0" fontId="46" fillId="2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52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left" vertical="center"/>
    </xf>
    <xf numFmtId="0" fontId="16" fillId="2" borderId="0" xfId="3" applyFill="1"/>
    <xf numFmtId="0" fontId="11" fillId="2" borderId="0" xfId="3" applyFont="1" applyFill="1"/>
    <xf numFmtId="2" fontId="16" fillId="2" borderId="2" xfId="3" applyNumberFormat="1" applyFont="1" applyFill="1" applyBorder="1" applyAlignment="1">
      <alignment horizontal="right" vertical="center" wrapText="1"/>
    </xf>
    <xf numFmtId="2" fontId="16" fillId="2" borderId="2" xfId="3" applyNumberFormat="1" applyFont="1" applyFill="1" applyBorder="1" applyAlignment="1">
      <alignment horizontal="right" vertical="center"/>
    </xf>
    <xf numFmtId="1" fontId="0" fillId="0" borderId="0" xfId="0" applyNumberFormat="1"/>
    <xf numFmtId="0" fontId="26" fillId="2" borderId="2" xfId="3" applyFont="1" applyFill="1" applyBorder="1" applyAlignment="1">
      <alignment horizontal="center" vertical="top" wrapText="1"/>
    </xf>
    <xf numFmtId="0" fontId="16" fillId="2" borderId="5" xfId="3" applyFont="1" applyFill="1" applyBorder="1" applyAlignment="1">
      <alignment horizontal="center" vertical="center"/>
    </xf>
    <xf numFmtId="0" fontId="16" fillId="2" borderId="0" xfId="3" applyFont="1" applyFill="1"/>
    <xf numFmtId="2" fontId="0" fillId="0" borderId="0" xfId="0" applyNumberFormat="1"/>
    <xf numFmtId="0" fontId="62" fillId="2" borderId="2" xfId="1" applyFont="1" applyFill="1" applyBorder="1" applyAlignment="1">
      <alignment vertical="center"/>
    </xf>
    <xf numFmtId="0" fontId="91" fillId="0" borderId="2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1" fontId="57" fillId="2" borderId="2" xfId="8" applyNumberFormat="1" applyFont="1" applyFill="1" applyBorder="1" applyAlignment="1">
      <alignment horizontal="center" vertical="center" wrapText="1"/>
    </xf>
    <xf numFmtId="1" fontId="57" fillId="0" borderId="2" xfId="8" applyNumberFormat="1" applyFont="1" applyBorder="1" applyAlignment="1">
      <alignment horizontal="center" vertical="center" wrapText="1"/>
    </xf>
    <xf numFmtId="1" fontId="57" fillId="2" borderId="2" xfId="8" applyNumberFormat="1" applyFont="1" applyFill="1" applyBorder="1" applyAlignment="1">
      <alignment horizontal="center" vertical="center"/>
    </xf>
    <xf numFmtId="1" fontId="57" fillId="0" borderId="2" xfId="8" applyNumberFormat="1" applyFont="1" applyBorder="1" applyAlignment="1">
      <alignment horizontal="center" vertical="center"/>
    </xf>
    <xf numFmtId="0" fontId="52" fillId="0" borderId="0" xfId="8" applyFont="1" applyBorder="1" applyAlignment="1">
      <alignment horizontal="center" vertical="center" wrapText="1"/>
    </xf>
    <xf numFmtId="1" fontId="55" fillId="0" borderId="0" xfId="8" applyNumberFormat="1" applyFont="1" applyBorder="1" applyAlignment="1">
      <alignment horizontal="center" vertical="center" wrapText="1"/>
    </xf>
    <xf numFmtId="2" fontId="24" fillId="2" borderId="0" xfId="8" applyNumberFormat="1" applyFont="1" applyFill="1" applyBorder="1" applyAlignment="1">
      <alignment vertical="center" wrapText="1"/>
    </xf>
    <xf numFmtId="1" fontId="55" fillId="2" borderId="0" xfId="8" applyNumberFormat="1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43" fillId="0" borderId="2" xfId="0" quotePrefix="1" applyFont="1" applyBorder="1" applyAlignment="1">
      <alignment horizontal="center" vertical="center" wrapText="1"/>
    </xf>
    <xf numFmtId="0" fontId="55" fillId="0" borderId="2" xfId="8" applyFont="1" applyBorder="1" applyAlignment="1">
      <alignment vertical="center"/>
    </xf>
    <xf numFmtId="0" fontId="52" fillId="0" borderId="0" xfId="8" applyFont="1" applyBorder="1" applyAlignment="1">
      <alignment horizontal="center" vertical="center"/>
    </xf>
    <xf numFmtId="0" fontId="55" fillId="0" borderId="0" xfId="8" applyFont="1" applyBorder="1" applyAlignment="1">
      <alignment vertical="center"/>
    </xf>
    <xf numFmtId="0" fontId="57" fillId="0" borderId="0" xfId="0" applyFont="1"/>
    <xf numFmtId="0" fontId="51" fillId="2" borderId="2" xfId="0" applyFont="1" applyFill="1" applyBorder="1" applyAlignment="1">
      <alignment horizontal="left" vertical="center" wrapText="1"/>
    </xf>
    <xf numFmtId="0" fontId="57" fillId="2" borderId="0" xfId="0" applyFont="1" applyFill="1"/>
    <xf numFmtId="1" fontId="55" fillId="0" borderId="2" xfId="2" applyNumberFormat="1" applyFont="1" applyBorder="1" applyAlignment="1">
      <alignment vertical="center" wrapText="1"/>
    </xf>
    <xf numFmtId="0" fontId="72" fillId="0" borderId="0" xfId="0" applyFont="1"/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61" fillId="0" borderId="2" xfId="2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1" fontId="51" fillId="0" borderId="2" xfId="2" applyNumberFormat="1" applyFont="1" applyBorder="1" applyAlignment="1">
      <alignment horizontal="right" vertical="center" wrapText="1"/>
    </xf>
    <xf numFmtId="0" fontId="51" fillId="0" borderId="2" xfId="8" applyFont="1" applyBorder="1" applyAlignment="1">
      <alignment horizontal="right" vertical="center"/>
    </xf>
    <xf numFmtId="0" fontId="52" fillId="0" borderId="8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70" fillId="0" borderId="2" xfId="8" applyFont="1" applyBorder="1" applyAlignment="1">
      <alignment horizontal="center" vertical="center" wrapText="1"/>
    </xf>
    <xf numFmtId="0" fontId="71" fillId="0" borderId="2" xfId="8" applyFont="1" applyBorder="1" applyAlignment="1">
      <alignment horizontal="center" vertical="center"/>
    </xf>
    <xf numFmtId="0" fontId="60" fillId="0" borderId="2" xfId="8" applyFont="1" applyBorder="1" applyAlignment="1">
      <alignment horizontal="center" wrapText="1"/>
    </xf>
    <xf numFmtId="0" fontId="57" fillId="0" borderId="2" xfId="8" applyFont="1" applyBorder="1" applyAlignment="1">
      <alignment horizontal="center" vertical="center"/>
    </xf>
    <xf numFmtId="0" fontId="57" fillId="2" borderId="2" xfId="8" applyFont="1" applyFill="1" applyBorder="1" applyAlignment="1">
      <alignment horizontal="center" vertical="center" wrapText="1"/>
    </xf>
    <xf numFmtId="2" fontId="57" fillId="0" borderId="2" xfId="8" applyNumberFormat="1" applyFont="1" applyBorder="1" applyAlignment="1">
      <alignment horizontal="center" vertical="center" wrapText="1"/>
    </xf>
    <xf numFmtId="2" fontId="52" fillId="0" borderId="2" xfId="8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52" fillId="0" borderId="0" xfId="1" applyFont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93" fillId="0" borderId="0" xfId="0" applyFont="1" applyAlignment="1">
      <alignment horizontal="center"/>
    </xf>
    <xf numFmtId="0" fontId="61" fillId="0" borderId="0" xfId="0" applyFont="1" applyBorder="1" applyAlignment="1"/>
    <xf numFmtId="0" fontId="89" fillId="0" borderId="0" xfId="0" applyFont="1" applyBorder="1" applyAlignment="1">
      <alignment horizontal="center" vertical="center"/>
    </xf>
    <xf numFmtId="0" fontId="91" fillId="0" borderId="0" xfId="0" applyFont="1"/>
    <xf numFmtId="0" fontId="100" fillId="0" borderId="2" xfId="0" applyFont="1" applyBorder="1" applyAlignment="1">
      <alignment vertical="center" wrapText="1"/>
    </xf>
    <xf numFmtId="0" fontId="100" fillId="0" borderId="0" xfId="0" applyFont="1" applyBorder="1" applyAlignment="1">
      <alignment horizontal="left" vertical="center" wrapText="1" indent="2"/>
    </xf>
    <xf numFmtId="0" fontId="100" fillId="0" borderId="0" xfId="0" applyFont="1" applyBorder="1" applyAlignment="1">
      <alignment vertical="center" wrapText="1"/>
    </xf>
    <xf numFmtId="0" fontId="63" fillId="0" borderId="2" xfId="0" applyFont="1" applyBorder="1" applyAlignment="1">
      <alignment vertical="center" wrapText="1"/>
    </xf>
    <xf numFmtId="17" fontId="63" fillId="0" borderId="5" xfId="0" applyNumberFormat="1" applyFont="1" applyBorder="1" applyAlignment="1">
      <alignment horizontal="left" vertical="center" wrapText="1"/>
    </xf>
    <xf numFmtId="0" fontId="103" fillId="0" borderId="2" xfId="0" applyFont="1" applyBorder="1" applyAlignment="1">
      <alignment horizontal="center" wrapText="1"/>
    </xf>
    <xf numFmtId="0" fontId="63" fillId="0" borderId="5" xfId="0" applyFont="1" applyBorder="1" applyAlignment="1">
      <alignment vertical="center" wrapText="1"/>
    </xf>
    <xf numFmtId="0" fontId="103" fillId="0" borderId="2" xfId="0" applyFont="1" applyBorder="1" applyAlignment="1">
      <alignment horizontal="center"/>
    </xf>
    <xf numFmtId="0" fontId="103" fillId="0" borderId="2" xfId="0" applyFont="1" applyBorder="1" applyAlignment="1">
      <alignment horizontal="center" vertical="center" wrapText="1"/>
    </xf>
    <xf numFmtId="0" fontId="69" fillId="0" borderId="2" xfId="0" applyFont="1" applyBorder="1"/>
    <xf numFmtId="0" fontId="63" fillId="0" borderId="2" xfId="0" applyFont="1" applyBorder="1" applyAlignment="1">
      <alignment horizontal="center" vertical="center" wrapText="1"/>
    </xf>
    <xf numFmtId="0" fontId="95" fillId="0" borderId="2" xfId="0" applyFont="1" applyBorder="1"/>
    <xf numFmtId="0" fontId="91" fillId="0" borderId="5" xfId="0" applyFont="1" applyBorder="1" applyAlignment="1">
      <alignment horizontal="center" vertical="center" wrapText="1"/>
    </xf>
    <xf numFmtId="2" fontId="51" fillId="2" borderId="2" xfId="11" applyNumberFormat="1" applyFont="1" applyFill="1" applyBorder="1" applyAlignment="1">
      <alignment vertical="center" wrapText="1"/>
    </xf>
    <xf numFmtId="0" fontId="52" fillId="2" borderId="13" xfId="8" applyFont="1" applyFill="1" applyBorder="1" applyAlignment="1">
      <alignment vertical="center" wrapText="1"/>
    </xf>
    <xf numFmtId="0" fontId="69" fillId="2" borderId="0" xfId="11" applyFont="1" applyFill="1"/>
    <xf numFmtId="165" fontId="69" fillId="2" borderId="0" xfId="11" applyNumberFormat="1" applyFont="1" applyFill="1"/>
    <xf numFmtId="2" fontId="55" fillId="2" borderId="2" xfId="8" applyNumberFormat="1" applyFont="1" applyFill="1" applyBorder="1" applyAlignment="1">
      <alignment horizontal="center" vertical="center" wrapText="1"/>
    </xf>
    <xf numFmtId="1" fontId="0" fillId="2" borderId="0" xfId="0" applyNumberFormat="1" applyFill="1"/>
    <xf numFmtId="0" fontId="15" fillId="2" borderId="0" xfId="3" applyFont="1" applyFill="1" applyAlignment="1"/>
    <xf numFmtId="0" fontId="21" fillId="2" borderId="0" xfId="3" applyFont="1" applyFill="1" applyAlignment="1"/>
    <xf numFmtId="0" fontId="13" fillId="2" borderId="0" xfId="3" applyFont="1" applyFill="1"/>
    <xf numFmtId="0" fontId="26" fillId="2" borderId="0" xfId="3" applyFont="1" applyFill="1"/>
    <xf numFmtId="0" fontId="11" fillId="2" borderId="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left" vertical="center"/>
    </xf>
    <xf numFmtId="0" fontId="11" fillId="2" borderId="2" xfId="3" applyFont="1" applyFill="1" applyBorder="1" applyAlignment="1">
      <alignment horizontal="left" vertical="center" wrapText="1"/>
    </xf>
    <xf numFmtId="0" fontId="16" fillId="2" borderId="2" xfId="3" quotePrefix="1" applyFill="1" applyBorder="1" applyAlignment="1">
      <alignment horizontal="center" vertical="center"/>
    </xf>
    <xf numFmtId="0" fontId="16" fillId="2" borderId="0" xfId="3" applyFill="1" applyBorder="1" applyAlignment="1">
      <alignment horizontal="left"/>
    </xf>
    <xf numFmtId="0" fontId="55" fillId="2" borderId="2" xfId="8" applyFont="1" applyFill="1" applyBorder="1" applyAlignment="1">
      <alignment vertical="center" wrapText="1"/>
    </xf>
    <xf numFmtId="0" fontId="69" fillId="2" borderId="2" xfId="8" applyFont="1" applyFill="1" applyBorder="1" applyAlignment="1">
      <alignment horizontal="center" vertical="center" wrapText="1"/>
    </xf>
    <xf numFmtId="0" fontId="52" fillId="0" borderId="0" xfId="1" applyFont="1"/>
    <xf numFmtId="0" fontId="56" fillId="0" borderId="0" xfId="1" applyFont="1" applyAlignment="1">
      <alignment horizontal="left"/>
    </xf>
    <xf numFmtId="0" fontId="52" fillId="0" borderId="0" xfId="1" applyFont="1" applyAlignment="1">
      <alignment vertical="center"/>
    </xf>
    <xf numFmtId="0" fontId="52" fillId="0" borderId="0" xfId="1" applyFont="1" applyBorder="1" applyAlignment="1">
      <alignment vertical="center"/>
    </xf>
    <xf numFmtId="0" fontId="52" fillId="0" borderId="0" xfId="1" applyFont="1" applyBorder="1"/>
    <xf numFmtId="0" fontId="52" fillId="2" borderId="2" xfId="1" applyFont="1" applyFill="1" applyBorder="1" applyAlignment="1">
      <alignment horizontal="center" vertical="center"/>
    </xf>
    <xf numFmtId="0" fontId="56" fillId="0" borderId="2" xfId="0" applyFont="1" applyBorder="1" applyAlignment="1">
      <alignment horizontal="center" vertical="top" wrapText="1"/>
    </xf>
    <xf numFmtId="0" fontId="52" fillId="0" borderId="2" xfId="1" applyFont="1" applyBorder="1" applyAlignment="1">
      <alignment vertical="center"/>
    </xf>
    <xf numFmtId="0" fontId="51" fillId="0" borderId="0" xfId="1" applyFont="1"/>
    <xf numFmtId="0" fontId="51" fillId="0" borderId="2" xfId="1" applyFont="1" applyBorder="1" applyAlignment="1">
      <alignment vertical="center"/>
    </xf>
    <xf numFmtId="0" fontId="51" fillId="0" borderId="2" xfId="0" applyFont="1" applyBorder="1" applyAlignment="1">
      <alignment vertical="center" wrapText="1"/>
    </xf>
    <xf numFmtId="0" fontId="51" fillId="0" borderId="2" xfId="0" applyFont="1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0" fontId="51" fillId="0" borderId="2" xfId="0" applyFont="1" applyBorder="1" applyAlignment="1">
      <alignment horizontal="center" vertical="top" wrapText="1"/>
    </xf>
    <xf numFmtId="0" fontId="51" fillId="0" borderId="2" xfId="0" applyFont="1" applyBorder="1" applyAlignment="1">
      <alignment vertical="top" wrapText="1"/>
    </xf>
    <xf numFmtId="0" fontId="52" fillId="0" borderId="2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/>
    </xf>
    <xf numFmtId="0" fontId="52" fillId="0" borderId="2" xfId="0" applyFont="1" applyFill="1" applyBorder="1" applyAlignment="1">
      <alignment vertical="top" wrapText="1"/>
    </xf>
    <xf numFmtId="0" fontId="52" fillId="2" borderId="2" xfId="8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6" fillId="3" borderId="0" xfId="0" applyFont="1" applyFill="1" applyAlignment="1">
      <alignment vertical="center"/>
    </xf>
    <xf numFmtId="0" fontId="69" fillId="0" borderId="2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7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69" fillId="2" borderId="2" xfId="0" applyFont="1" applyFill="1" applyBorder="1" applyAlignment="1">
      <alignment horizontal="center" vertical="center"/>
    </xf>
    <xf numFmtId="0" fontId="69" fillId="2" borderId="0" xfId="0" applyFont="1" applyFill="1" applyAlignment="1">
      <alignment vertical="center"/>
    </xf>
    <xf numFmtId="2" fontId="57" fillId="0" borderId="2" xfId="0" applyNumberFormat="1" applyFont="1" applyBorder="1" applyAlignment="1">
      <alignment vertical="center" wrapText="1"/>
    </xf>
    <xf numFmtId="2" fontId="21" fillId="0" borderId="2" xfId="0" applyNumberFormat="1" applyFont="1" applyBorder="1" applyAlignment="1">
      <alignment horizontal="right" vertical="center"/>
    </xf>
    <xf numFmtId="0" fontId="69" fillId="0" borderId="0" xfId="0" applyFont="1" applyBorder="1"/>
    <xf numFmtId="0" fontId="57" fillId="2" borderId="2" xfId="0" applyFont="1" applyFill="1" applyBorder="1" applyAlignment="1">
      <alignment vertical="center" wrapText="1"/>
    </xf>
    <xf numFmtId="2" fontId="57" fillId="2" borderId="2" xfId="0" applyNumberFormat="1" applyFont="1" applyFill="1" applyBorder="1" applyAlignment="1">
      <alignment vertical="center" wrapText="1"/>
    </xf>
    <xf numFmtId="2" fontId="69" fillId="0" borderId="0" xfId="0" applyNumberFormat="1" applyFont="1" applyBorder="1"/>
    <xf numFmtId="0" fontId="16" fillId="2" borderId="2" xfId="0" applyFont="1" applyFill="1" applyBorder="1" applyAlignment="1">
      <alignment vertical="center" wrapText="1"/>
    </xf>
    <xf numFmtId="2" fontId="105" fillId="0" borderId="2" xfId="0" applyNumberFormat="1" applyFont="1" applyBorder="1" applyAlignment="1">
      <alignment vertical="center" wrapText="1"/>
    </xf>
    <xf numFmtId="2" fontId="105" fillId="2" borderId="2" xfId="0" applyNumberFormat="1" applyFont="1" applyFill="1" applyBorder="1" applyAlignment="1">
      <alignment vertical="center"/>
    </xf>
    <xf numFmtId="0" fontId="43" fillId="0" borderId="3" xfId="0" applyFont="1" applyBorder="1" applyAlignment="1">
      <alignment horizontal="center" vertical="center" wrapText="1"/>
    </xf>
    <xf numFmtId="0" fontId="51" fillId="0" borderId="2" xfId="1" applyFont="1" applyBorder="1" applyAlignment="1">
      <alignment horizontal="center" vertical="center"/>
    </xf>
    <xf numFmtId="0" fontId="51" fillId="0" borderId="0" xfId="1" applyFont="1" applyAlignment="1">
      <alignment vertical="center"/>
    </xf>
    <xf numFmtId="0" fontId="51" fillId="0" borderId="2" xfId="1" applyFont="1" applyBorder="1" applyAlignment="1">
      <alignment vertical="center" wrapText="1"/>
    </xf>
    <xf numFmtId="0" fontId="52" fillId="0" borderId="2" xfId="1" applyFont="1" applyBorder="1" applyAlignment="1">
      <alignment horizontal="center" vertical="center"/>
    </xf>
    <xf numFmtId="0" fontId="64" fillId="2" borderId="0" xfId="1" applyFont="1" applyFill="1" applyBorder="1" applyAlignment="1">
      <alignment horizontal="center" vertical="center" wrapText="1"/>
    </xf>
    <xf numFmtId="0" fontId="67" fillId="2" borderId="0" xfId="1" applyFont="1" applyFill="1" applyBorder="1" applyAlignment="1">
      <alignment horizontal="center" vertical="center" wrapText="1"/>
    </xf>
    <xf numFmtId="2" fontId="62" fillId="2" borderId="0" xfId="1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/>
    </xf>
    <xf numFmtId="0" fontId="36" fillId="2" borderId="0" xfId="1" applyFont="1" applyFill="1" applyBorder="1" applyAlignment="1">
      <alignment horizontal="center"/>
    </xf>
    <xf numFmtId="0" fontId="45" fillId="2" borderId="0" xfId="1" applyFill="1" applyBorder="1" applyAlignment="1">
      <alignment horizontal="left"/>
    </xf>
    <xf numFmtId="0" fontId="52" fillId="2" borderId="0" xfId="2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69" fillId="2" borderId="2" xfId="2" applyFont="1" applyFill="1" applyBorder="1" applyAlignment="1">
      <alignment horizontal="center" vertical="center"/>
    </xf>
    <xf numFmtId="0" fontId="95" fillId="0" borderId="0" xfId="1" applyFont="1" applyAlignment="1">
      <alignment vertical="center"/>
    </xf>
    <xf numFmtId="2" fontId="85" fillId="0" borderId="2" xfId="1" applyNumberFormat="1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wrapText="1"/>
    </xf>
    <xf numFmtId="0" fontId="66" fillId="0" borderId="3" xfId="1" applyFont="1" applyBorder="1" applyAlignment="1">
      <alignment horizontal="center" vertical="center" wrapText="1"/>
    </xf>
    <xf numFmtId="0" fontId="67" fillId="0" borderId="2" xfId="1" applyFont="1" applyBorder="1" applyAlignment="1">
      <alignment horizontal="center" vertical="center" wrapText="1"/>
    </xf>
    <xf numFmtId="0" fontId="68" fillId="0" borderId="0" xfId="1" applyFont="1" applyAlignment="1">
      <alignment horizontal="center"/>
    </xf>
    <xf numFmtId="0" fontId="0" fillId="2" borderId="2" xfId="0" applyFill="1" applyBorder="1" applyAlignment="1">
      <alignment wrapText="1"/>
    </xf>
    <xf numFmtId="0" fontId="37" fillId="0" borderId="0" xfId="1" applyFont="1" applyAlignment="1">
      <alignment horizontal="center" vertical="center"/>
    </xf>
    <xf numFmtId="0" fontId="45" fillId="0" borderId="0" xfId="1" applyAlignment="1">
      <alignment vertical="center"/>
    </xf>
    <xf numFmtId="0" fontId="45" fillId="0" borderId="0" xfId="1" applyBorder="1" applyAlignment="1">
      <alignment vertical="center"/>
    </xf>
    <xf numFmtId="0" fontId="45" fillId="0" borderId="2" xfId="1" applyBorder="1" applyAlignment="1">
      <alignment vertical="center"/>
    </xf>
    <xf numFmtId="0" fontId="107" fillId="0" borderId="3" xfId="2" applyFont="1" applyBorder="1" applyAlignment="1">
      <alignment horizontal="center" vertical="center" wrapText="1"/>
    </xf>
    <xf numFmtId="2" fontId="16" fillId="2" borderId="0" xfId="11" applyNumberFormat="1" applyFont="1" applyFill="1"/>
    <xf numFmtId="0" fontId="11" fillId="2" borderId="6" xfId="0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right" vertical="center"/>
    </xf>
    <xf numFmtId="0" fontId="16" fillId="2" borderId="6" xfId="2" applyFont="1" applyFill="1" applyBorder="1" applyAlignment="1">
      <alignment horizontal="right" vertical="center"/>
    </xf>
    <xf numFmtId="1" fontId="16" fillId="2" borderId="6" xfId="2" applyNumberFormat="1" applyFont="1" applyFill="1" applyBorder="1" applyAlignment="1">
      <alignment horizontal="right" vertical="center"/>
    </xf>
    <xf numFmtId="0" fontId="11" fillId="2" borderId="2" xfId="2" applyFont="1" applyFill="1" applyBorder="1" applyAlignment="1">
      <alignment horizontal="right" vertical="center"/>
    </xf>
    <xf numFmtId="1" fontId="11" fillId="2" borderId="2" xfId="2" applyNumberFormat="1" applyFont="1" applyFill="1" applyBorder="1" applyAlignment="1">
      <alignment horizontal="right" vertical="center"/>
    </xf>
    <xf numFmtId="0" fontId="22" fillId="3" borderId="0" xfId="2" applyFont="1" applyFill="1" applyAlignment="1">
      <alignment wrapText="1"/>
    </xf>
    <xf numFmtId="1" fontId="51" fillId="0" borderId="0" xfId="8" applyNumberFormat="1" applyFont="1" applyAlignment="1">
      <alignment vertical="center"/>
    </xf>
    <xf numFmtId="1" fontId="52" fillId="0" borderId="2" xfId="8" applyNumberFormat="1" applyFont="1" applyBorder="1" applyAlignment="1">
      <alignment vertical="center"/>
    </xf>
    <xf numFmtId="1" fontId="51" fillId="2" borderId="2" xfId="2" applyNumberFormat="1" applyFont="1" applyFill="1" applyBorder="1" applyAlignment="1">
      <alignment vertical="center" wrapText="1"/>
    </xf>
    <xf numFmtId="0" fontId="15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31" fillId="2" borderId="2" xfId="1" applyFont="1" applyFill="1" applyBorder="1" applyAlignment="1">
      <alignment horizontal="center" vertical="center" wrapText="1"/>
    </xf>
    <xf numFmtId="1" fontId="63" fillId="2" borderId="2" xfId="1" applyNumberFormat="1" applyFont="1" applyFill="1" applyBorder="1" applyAlignment="1">
      <alignment vertical="center"/>
    </xf>
    <xf numFmtId="1" fontId="62" fillId="2" borderId="2" xfId="1" applyNumberFormat="1" applyFont="1" applyFill="1" applyBorder="1" applyAlignment="1">
      <alignment vertical="center" wrapText="1"/>
    </xf>
    <xf numFmtId="1" fontId="85" fillId="2" borderId="2" xfId="1" applyNumberFormat="1" applyFont="1" applyFill="1" applyBorder="1" applyAlignment="1">
      <alignment vertical="center" wrapText="1"/>
    </xf>
    <xf numFmtId="0" fontId="27" fillId="2" borderId="0" xfId="1" applyFont="1" applyFill="1"/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top" wrapText="1"/>
    </xf>
    <xf numFmtId="0" fontId="31" fillId="2" borderId="2" xfId="1" applyFont="1" applyFill="1" applyBorder="1" applyAlignment="1">
      <alignment horizontal="center" vertical="top" wrapText="1"/>
    </xf>
    <xf numFmtId="0" fontId="37" fillId="2" borderId="0" xfId="1" applyFont="1" applyFill="1" applyAlignment="1">
      <alignment horizontal="center"/>
    </xf>
    <xf numFmtId="0" fontId="37" fillId="2" borderId="0" xfId="1" applyFont="1" applyFill="1" applyAlignment="1">
      <alignment horizontal="center" vertical="center"/>
    </xf>
    <xf numFmtId="0" fontId="5" fillId="2" borderId="0" xfId="1" applyFont="1" applyFill="1"/>
    <xf numFmtId="0" fontId="14" fillId="2" borderId="0" xfId="2" applyFont="1" applyFill="1" applyAlignment="1">
      <alignment horizontal="center"/>
    </xf>
    <xf numFmtId="0" fontId="52" fillId="2" borderId="0" xfId="8" applyFont="1" applyFill="1" applyAlignment="1">
      <alignment vertical="center"/>
    </xf>
    <xf numFmtId="1" fontId="55" fillId="0" borderId="2" xfId="8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vertical="center"/>
    </xf>
    <xf numFmtId="0" fontId="57" fillId="2" borderId="2" xfId="0" applyFont="1" applyFill="1" applyBorder="1" applyAlignment="1">
      <alignment vertical="center"/>
    </xf>
    <xf numFmtId="0" fontId="11" fillId="2" borderId="0" xfId="0" applyFont="1" applyFill="1" applyAlignment="1">
      <alignment horizontal="left"/>
    </xf>
    <xf numFmtId="0" fontId="52" fillId="2" borderId="8" xfId="0" applyFont="1" applyFill="1" applyBorder="1" applyAlignment="1">
      <alignment horizontal="center" vertical="center" wrapText="1"/>
    </xf>
    <xf numFmtId="0" fontId="52" fillId="2" borderId="2" xfId="2" applyFont="1" applyFill="1" applyBorder="1" applyAlignment="1">
      <alignment horizontal="center" vertical="center" wrapText="1"/>
    </xf>
    <xf numFmtId="0" fontId="56" fillId="2" borderId="2" xfId="8" applyFont="1" applyFill="1" applyBorder="1" applyAlignment="1">
      <alignment horizontal="center" vertical="center" wrapText="1"/>
    </xf>
    <xf numFmtId="2" fontId="57" fillId="2" borderId="2" xfId="0" applyNumberFormat="1" applyFont="1" applyFill="1" applyBorder="1" applyAlignment="1">
      <alignment horizontal="right" vertical="center" wrapText="1"/>
    </xf>
    <xf numFmtId="2" fontId="106" fillId="0" borderId="2" xfId="0" applyNumberFormat="1" applyFont="1" applyBorder="1" applyAlignment="1">
      <alignment vertical="center" wrapText="1"/>
    </xf>
    <xf numFmtId="0" fontId="108" fillId="0" borderId="12" xfId="1" applyFont="1" applyBorder="1" applyAlignment="1">
      <alignment vertical="center" wrapText="1"/>
    </xf>
    <xf numFmtId="0" fontId="108" fillId="0" borderId="2" xfId="1" applyFont="1" applyBorder="1" applyAlignment="1">
      <alignment vertical="center" wrapText="1"/>
    </xf>
    <xf numFmtId="0" fontId="16" fillId="2" borderId="0" xfId="8" applyFont="1" applyFill="1"/>
    <xf numFmtId="0" fontId="20" fillId="2" borderId="0" xfId="0" applyFont="1" applyFill="1" applyAlignment="1">
      <alignment horizontal="center"/>
    </xf>
    <xf numFmtId="0" fontId="61" fillId="2" borderId="2" xfId="0" applyFont="1" applyFill="1" applyBorder="1" applyAlignment="1">
      <alignment horizontal="center" vertical="center" wrapText="1"/>
    </xf>
    <xf numFmtId="0" fontId="18" fillId="2" borderId="0" xfId="8" applyFont="1" applyFill="1" applyBorder="1" applyAlignment="1">
      <alignment horizontal="center"/>
    </xf>
    <xf numFmtId="0" fontId="11" fillId="2" borderId="2" xfId="8" applyFont="1" applyFill="1" applyBorder="1" applyAlignment="1">
      <alignment vertical="center" wrapText="1"/>
    </xf>
    <xf numFmtId="0" fontId="26" fillId="2" borderId="2" xfId="8" applyFont="1" applyFill="1" applyBorder="1" applyAlignment="1">
      <alignment horizontal="center" vertical="center" wrapText="1"/>
    </xf>
    <xf numFmtId="2" fontId="16" fillId="2" borderId="2" xfId="8" applyNumberFormat="1" applyFont="1" applyFill="1" applyBorder="1" applyAlignment="1">
      <alignment horizontal="right" vertical="center" wrapText="1"/>
    </xf>
    <xf numFmtId="0" fontId="22" fillId="2" borderId="0" xfId="8" applyFont="1" applyFill="1" applyBorder="1" applyAlignment="1">
      <alignment vertical="center" wrapText="1"/>
    </xf>
    <xf numFmtId="0" fontId="77" fillId="2" borderId="2" xfId="0" applyFont="1" applyFill="1" applyBorder="1" applyAlignment="1">
      <alignment horizontal="center" vertical="center"/>
    </xf>
    <xf numFmtId="0" fontId="69" fillId="2" borderId="0" xfId="0" applyFont="1" applyFill="1"/>
    <xf numFmtId="0" fontId="61" fillId="2" borderId="0" xfId="1" applyFont="1" applyFill="1"/>
    <xf numFmtId="0" fontId="61" fillId="2" borderId="0" xfId="1" applyFont="1" applyFill="1" applyAlignment="1">
      <alignment vertical="center"/>
    </xf>
    <xf numFmtId="0" fontId="77" fillId="2" borderId="2" xfId="0" applyFont="1" applyFill="1" applyBorder="1" applyAlignment="1">
      <alignment horizontal="center" vertical="top" wrapText="1"/>
    </xf>
    <xf numFmtId="0" fontId="51" fillId="2" borderId="2" xfId="1" applyFont="1" applyFill="1" applyBorder="1" applyAlignment="1">
      <alignment vertical="center"/>
    </xf>
    <xf numFmtId="0" fontId="51" fillId="2" borderId="2" xfId="1" applyFont="1" applyFill="1" applyBorder="1" applyAlignment="1">
      <alignment vertical="center" wrapText="1"/>
    </xf>
    <xf numFmtId="0" fontId="52" fillId="2" borderId="2" xfId="1" applyFont="1" applyFill="1" applyBorder="1" applyAlignment="1">
      <alignment vertical="center"/>
    </xf>
    <xf numFmtId="0" fontId="99" fillId="0" borderId="2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52" fillId="2" borderId="0" xfId="0" applyFont="1" applyFill="1" applyBorder="1" applyAlignment="1">
      <alignment vertical="center"/>
    </xf>
    <xf numFmtId="0" fontId="11" fillId="2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0" xfId="2" applyFont="1" applyFill="1" applyAlignment="1">
      <alignment horizontal="center"/>
    </xf>
    <xf numFmtId="0" fontId="16" fillId="2" borderId="0" xfId="2" applyFont="1" applyFill="1"/>
    <xf numFmtId="0" fontId="11" fillId="2" borderId="2" xfId="2" applyFont="1" applyFill="1" applyBorder="1" applyAlignment="1">
      <alignment horizontal="center" vertical="center" wrapText="1"/>
    </xf>
    <xf numFmtId="0" fontId="52" fillId="0" borderId="2" xfId="8" applyFont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top" wrapText="1"/>
    </xf>
    <xf numFmtId="0" fontId="11" fillId="2" borderId="2" xfId="2" applyFont="1" applyFill="1" applyBorder="1" applyAlignment="1">
      <alignment horizontal="center" vertical="top" wrapText="1"/>
    </xf>
    <xf numFmtId="2" fontId="105" fillId="0" borderId="2" xfId="0" applyNumberFormat="1" applyFont="1" applyBorder="1" applyAlignment="1">
      <alignment vertical="center"/>
    </xf>
    <xf numFmtId="2" fontId="105" fillId="2" borderId="2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61" fillId="2" borderId="0" xfId="2" applyFont="1" applyFill="1" applyAlignment="1">
      <alignment horizontal="left" vertical="center" wrapText="1"/>
    </xf>
    <xf numFmtId="0" fontId="16" fillId="2" borderId="0" xfId="2" applyFont="1" applyFill="1"/>
    <xf numFmtId="0" fontId="16" fillId="2" borderId="0" xfId="8" applyFont="1" applyFill="1"/>
    <xf numFmtId="0" fontId="23" fillId="0" borderId="0" xfId="2" applyFont="1" applyAlignment="1">
      <alignment horizontal="left"/>
    </xf>
    <xf numFmtId="0" fontId="16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167" fontId="51" fillId="0" borderId="2" xfId="2" applyNumberFormat="1" applyFont="1" applyBorder="1" applyAlignment="1">
      <alignment horizontal="center" vertical="center" wrapText="1"/>
    </xf>
    <xf numFmtId="2" fontId="59" fillId="0" borderId="2" xfId="4" applyNumberFormat="1" applyFont="1" applyBorder="1" applyAlignment="1">
      <alignment vertical="center" wrapText="1"/>
    </xf>
    <xf numFmtId="0" fontId="18" fillId="0" borderId="2" xfId="4" applyFont="1" applyBorder="1" applyAlignment="1">
      <alignment vertical="center" wrapText="1"/>
    </xf>
    <xf numFmtId="164" fontId="59" fillId="0" borderId="2" xfId="4" applyNumberFormat="1" applyFont="1" applyBorder="1" applyAlignment="1">
      <alignment vertical="center" wrapText="1"/>
    </xf>
    <xf numFmtId="2" fontId="16" fillId="0" borderId="2" xfId="4" applyNumberFormat="1" applyFont="1" applyBorder="1" applyAlignment="1">
      <alignment vertical="center" wrapText="1"/>
    </xf>
    <xf numFmtId="0" fontId="98" fillId="0" borderId="2" xfId="4" applyFont="1" applyBorder="1" applyAlignment="1">
      <alignment vertical="center" wrapText="1"/>
    </xf>
    <xf numFmtId="2" fontId="22" fillId="0" borderId="2" xfId="4" applyNumberFormat="1" applyFont="1" applyBorder="1" applyAlignment="1">
      <alignment vertical="center" wrapText="1"/>
    </xf>
    <xf numFmtId="0" fontId="22" fillId="0" borderId="2" xfId="4" applyFont="1" applyBorder="1" applyAlignment="1">
      <alignment vertical="center" wrapText="1"/>
    </xf>
    <xf numFmtId="0" fontId="52" fillId="0" borderId="2" xfId="8" applyFont="1" applyBorder="1" applyAlignment="1">
      <alignment horizontal="right" vertical="center" wrapText="1"/>
    </xf>
    <xf numFmtId="1" fontId="52" fillId="0" borderId="2" xfId="8" applyNumberFormat="1" applyFont="1" applyBorder="1" applyAlignment="1">
      <alignment horizontal="right" vertical="center" wrapText="1"/>
    </xf>
    <xf numFmtId="1" fontId="52" fillId="2" borderId="2" xfId="8" applyNumberFormat="1" applyFont="1" applyFill="1" applyBorder="1" applyAlignment="1">
      <alignment horizontal="right" vertical="center" wrapText="1"/>
    </xf>
    <xf numFmtId="0" fontId="105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47" fillId="0" borderId="0" xfId="8" applyFont="1" applyAlignment="1">
      <alignment horizontal="center"/>
    </xf>
    <xf numFmtId="0" fontId="41" fillId="0" borderId="0" xfId="8" applyFont="1"/>
    <xf numFmtId="0" fontId="43" fillId="0" borderId="2" xfId="8" quotePrefix="1" applyFont="1" applyBorder="1" applyAlignment="1">
      <alignment horizontal="center" vertical="top" wrapText="1"/>
    </xf>
    <xf numFmtId="0" fontId="42" fillId="0" borderId="1" xfId="8" applyFont="1" applyBorder="1" applyAlignment="1">
      <alignment horizontal="center" vertical="center" wrapText="1"/>
    </xf>
    <xf numFmtId="0" fontId="42" fillId="2" borderId="1" xfId="8" applyFont="1" applyFill="1" applyBorder="1" applyAlignment="1">
      <alignment horizontal="center" vertical="center" wrapText="1"/>
    </xf>
    <xf numFmtId="2" fontId="57" fillId="2" borderId="2" xfId="0" applyNumberFormat="1" applyFont="1" applyFill="1" applyBorder="1" applyAlignment="1">
      <alignment vertical="center"/>
    </xf>
    <xf numFmtId="0" fontId="55" fillId="2" borderId="2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0" fontId="16" fillId="3" borderId="0" xfId="8" applyFont="1" applyFill="1"/>
    <xf numFmtId="0" fontId="21" fillId="3" borderId="0" xfId="8" applyFont="1" applyFill="1"/>
    <xf numFmtId="0" fontId="11" fillId="2" borderId="0" xfId="8" applyFont="1" applyFill="1" applyBorder="1" applyAlignment="1">
      <alignment horizontal="right"/>
    </xf>
    <xf numFmtId="0" fontId="11" fillId="2" borderId="2" xfId="8" applyFont="1" applyFill="1" applyBorder="1" applyAlignment="1">
      <alignment horizontal="center" vertical="top" wrapText="1"/>
    </xf>
    <xf numFmtId="0" fontId="11" fillId="3" borderId="0" xfId="8" applyFont="1" applyFill="1"/>
    <xf numFmtId="0" fontId="11" fillId="2" borderId="0" xfId="8" applyFont="1" applyFill="1"/>
    <xf numFmtId="0" fontId="27" fillId="0" borderId="2" xfId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16" fillId="0" borderId="2" xfId="2" applyFont="1" applyBorder="1"/>
    <xf numFmtId="0" fontId="16" fillId="0" borderId="0" xfId="2" applyFont="1" applyBorder="1"/>
    <xf numFmtId="0" fontId="11" fillId="0" borderId="0" xfId="2" applyFont="1" applyBorder="1" applyAlignment="1">
      <alignment horizontal="center"/>
    </xf>
    <xf numFmtId="0" fontId="42" fillId="0" borderId="0" xfId="8" applyFont="1" applyBorder="1" applyAlignment="1"/>
    <xf numFmtId="0" fontId="11" fillId="0" borderId="0" xfId="16" applyFont="1" applyAlignment="1">
      <alignment horizontal="center" vertical="top" wrapText="1"/>
    </xf>
    <xf numFmtId="0" fontId="11" fillId="0" borderId="2" xfId="16" applyFont="1" applyBorder="1" applyAlignment="1">
      <alignment horizontal="center" vertical="center" wrapText="1"/>
    </xf>
    <xf numFmtId="0" fontId="42" fillId="0" borderId="1" xfId="8" applyFont="1" applyBorder="1" applyAlignment="1">
      <alignment vertical="center" wrapText="1"/>
    </xf>
    <xf numFmtId="0" fontId="42" fillId="2" borderId="2" xfId="8" applyFont="1" applyFill="1" applyBorder="1" applyAlignment="1">
      <alignment horizontal="center" vertical="center" wrapText="1"/>
    </xf>
    <xf numFmtId="0" fontId="16" fillId="0" borderId="0" xfId="8" applyAlignment="1">
      <alignment vertical="center"/>
    </xf>
    <xf numFmtId="0" fontId="11" fillId="0" borderId="2" xfId="16" applyFont="1" applyBorder="1" applyAlignment="1">
      <alignment horizontal="center" vertical="center"/>
    </xf>
    <xf numFmtId="1" fontId="16" fillId="2" borderId="8" xfId="2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51" fillId="0" borderId="0" xfId="8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52" fillId="0" borderId="2" xfId="8" applyFont="1" applyBorder="1" applyAlignment="1">
      <alignment horizontal="center" vertical="center"/>
    </xf>
    <xf numFmtId="0" fontId="1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0" xfId="8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0" fontId="114" fillId="0" borderId="2" xfId="0" applyFont="1" applyBorder="1" applyAlignment="1">
      <alignment horizontal="center"/>
    </xf>
    <xf numFmtId="0" fontId="114" fillId="0" borderId="2" xfId="0" applyFont="1" applyBorder="1"/>
    <xf numFmtId="0" fontId="114" fillId="0" borderId="0" xfId="0" applyFont="1"/>
    <xf numFmtId="0" fontId="114" fillId="0" borderId="2" xfId="0" applyFont="1" applyFill="1" applyBorder="1"/>
    <xf numFmtId="2" fontId="116" fillId="2" borderId="2" xfId="0" applyNumberFormat="1" applyFont="1" applyFill="1" applyBorder="1" applyAlignment="1">
      <alignment horizontal="right" vertical="center"/>
    </xf>
    <xf numFmtId="0" fontId="116" fillId="2" borderId="2" xfId="0" applyFont="1" applyFill="1" applyBorder="1" applyAlignment="1">
      <alignment horizontal="right"/>
    </xf>
    <xf numFmtId="2" fontId="116" fillId="2" borderId="2" xfId="0" applyNumberFormat="1" applyFont="1" applyFill="1" applyBorder="1" applyAlignment="1">
      <alignment horizontal="right"/>
    </xf>
    <xf numFmtId="0" fontId="16" fillId="0" borderId="2" xfId="8" applyFont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 wrapText="1"/>
    </xf>
    <xf numFmtId="0" fontId="16" fillId="0" borderId="2" xfId="2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16" fillId="0" borderId="2" xfId="8" applyNumberFormat="1" applyFont="1" applyBorder="1" applyAlignment="1">
      <alignment horizontal="center" vertical="center" wrapText="1"/>
    </xf>
    <xf numFmtId="165" fontId="52" fillId="0" borderId="2" xfId="8" applyNumberFormat="1" applyFont="1" applyBorder="1" applyAlignment="1">
      <alignment horizontal="center" vertical="center"/>
    </xf>
    <xf numFmtId="0" fontId="21" fillId="0" borderId="2" xfId="8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1" fontId="51" fillId="2" borderId="2" xfId="0" quotePrefix="1" applyNumberFormat="1" applyFont="1" applyFill="1" applyBorder="1" applyAlignment="1">
      <alignment vertical="center" wrapText="1"/>
    </xf>
    <xf numFmtId="1" fontId="52" fillId="2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55" fillId="0" borderId="2" xfId="8" applyFont="1" applyBorder="1" applyAlignment="1">
      <alignment horizontal="center" vertical="center"/>
    </xf>
    <xf numFmtId="0" fontId="24" fillId="0" borderId="12" xfId="8" applyFont="1" applyBorder="1" applyAlignment="1">
      <alignment horizontal="center" vertical="center" wrapText="1"/>
    </xf>
    <xf numFmtId="0" fontId="60" fillId="0" borderId="2" xfId="0" applyFont="1" applyBorder="1" applyAlignment="1">
      <alignment horizontal="center" vertical="center" wrapText="1"/>
    </xf>
    <xf numFmtId="2" fontId="16" fillId="2" borderId="0" xfId="3" applyNumberFormat="1" applyFill="1"/>
    <xf numFmtId="0" fontId="11" fillId="2" borderId="2" xfId="3" applyFont="1" applyFill="1" applyBorder="1" applyAlignment="1"/>
    <xf numFmtId="0" fontId="16" fillId="2" borderId="2" xfId="3" applyFill="1" applyBorder="1" applyAlignment="1"/>
    <xf numFmtId="2" fontId="16" fillId="2" borderId="2" xfId="3" applyNumberFormat="1" applyFill="1" applyBorder="1" applyAlignment="1"/>
    <xf numFmtId="0" fontId="16" fillId="2" borderId="2" xfId="3" applyFont="1" applyFill="1" applyBorder="1" applyAlignment="1"/>
    <xf numFmtId="1" fontId="16" fillId="2" borderId="2" xfId="3" applyNumberFormat="1" applyFill="1" applyBorder="1" applyAlignment="1"/>
    <xf numFmtId="0" fontId="51" fillId="0" borderId="2" xfId="2" applyFont="1" applyBorder="1" applyAlignment="1">
      <alignment horizontal="center" vertical="center" wrapText="1"/>
    </xf>
    <xf numFmtId="0" fontId="57" fillId="2" borderId="2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52" fillId="0" borderId="0" xfId="8" applyFont="1" applyAlignment="1">
      <alignment horizontal="center" vertical="center"/>
    </xf>
    <xf numFmtId="0" fontId="52" fillId="0" borderId="2" xfId="8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1" fontId="16" fillId="2" borderId="0" xfId="3" applyNumberFormat="1" applyFill="1"/>
    <xf numFmtId="2" fontId="51" fillId="0" borderId="2" xfId="2" applyNumberFormat="1" applyFont="1" applyBorder="1" applyAlignment="1">
      <alignment horizontal="center" vertical="center" wrapText="1"/>
    </xf>
    <xf numFmtId="165" fontId="16" fillId="2" borderId="2" xfId="3" applyNumberFormat="1" applyFill="1" applyBorder="1" applyAlignment="1"/>
    <xf numFmtId="165" fontId="0" fillId="2" borderId="2" xfId="0" applyNumberFormat="1" applyFill="1" applyBorder="1" applyAlignment="1"/>
    <xf numFmtId="165" fontId="16" fillId="2" borderId="2" xfId="3" applyNumberFormat="1" applyFont="1" applyFill="1" applyBorder="1" applyAlignment="1"/>
    <xf numFmtId="2" fontId="16" fillId="2" borderId="1" xfId="3" applyNumberFormat="1" applyFill="1" applyBorder="1" applyAlignment="1"/>
    <xf numFmtId="0" fontId="16" fillId="2" borderId="1" xfId="3" applyFill="1" applyBorder="1" applyAlignment="1"/>
    <xf numFmtId="0" fontId="0" fillId="2" borderId="1" xfId="0" applyFill="1" applyBorder="1" applyAlignment="1"/>
    <xf numFmtId="0" fontId="16" fillId="2" borderId="0" xfId="3" applyFill="1" applyBorder="1" applyAlignment="1"/>
    <xf numFmtId="0" fontId="16" fillId="2" borderId="0" xfId="3" applyFill="1" applyBorder="1"/>
    <xf numFmtId="0" fontId="16" fillId="2" borderId="0" xfId="3" applyFont="1" applyFill="1" applyBorder="1" applyAlignment="1"/>
    <xf numFmtId="0" fontId="16" fillId="2" borderId="0" xfId="3" applyFont="1" applyFill="1" applyBorder="1"/>
    <xf numFmtId="1" fontId="0" fillId="2" borderId="2" xfId="0" applyNumberFormat="1" applyFill="1" applyBorder="1" applyAlignment="1"/>
    <xf numFmtId="0" fontId="11" fillId="0" borderId="2" xfId="2" applyFont="1" applyBorder="1" applyAlignment="1">
      <alignment horizontal="center" vertical="center" wrapText="1"/>
    </xf>
    <xf numFmtId="0" fontId="52" fillId="0" borderId="2" xfId="8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" fontId="22" fillId="0" borderId="2" xfId="0" applyNumberFormat="1" applyFont="1" applyBorder="1" applyAlignment="1">
      <alignment vertical="center"/>
    </xf>
    <xf numFmtId="0" fontId="24" fillId="0" borderId="2" xfId="8" applyFont="1" applyBorder="1" applyAlignment="1">
      <alignment horizontal="center" vertical="center" wrapText="1"/>
    </xf>
    <xf numFmtId="1" fontId="52" fillId="0" borderId="2" xfId="8" applyNumberFormat="1" applyFont="1" applyBorder="1" applyAlignment="1">
      <alignment horizontal="center" vertical="center"/>
    </xf>
    <xf numFmtId="1" fontId="51" fillId="0" borderId="2" xfId="0" applyNumberFormat="1" applyFont="1" applyBorder="1" applyAlignment="1">
      <alignment horizontal="center" vertical="center"/>
    </xf>
    <xf numFmtId="0" fontId="95" fillId="0" borderId="2" xfId="0" applyFont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51" fillId="0" borderId="2" xfId="1" applyFont="1" applyBorder="1" applyAlignment="1">
      <alignment horizontal="center" vertical="center" wrapText="1"/>
    </xf>
    <xf numFmtId="0" fontId="51" fillId="0" borderId="2" xfId="1" applyFont="1" applyBorder="1" applyAlignment="1">
      <alignment horizontal="center" vertical="top" wrapText="1"/>
    </xf>
    <xf numFmtId="1" fontId="51" fillId="2" borderId="2" xfId="0" applyNumberFormat="1" applyFont="1" applyFill="1" applyBorder="1" applyAlignment="1">
      <alignment horizontal="center" vertical="center"/>
    </xf>
    <xf numFmtId="1" fontId="52" fillId="0" borderId="2" xfId="0" applyNumberFormat="1" applyFont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2" fillId="0" borderId="0" xfId="8" applyFont="1" applyAlignment="1">
      <alignment horizontal="center" vertical="center"/>
    </xf>
    <xf numFmtId="2" fontId="51" fillId="2" borderId="2" xfId="1" applyNumberFormat="1" applyFont="1" applyFill="1" applyBorder="1" applyAlignment="1">
      <alignment vertical="center"/>
    </xf>
    <xf numFmtId="165" fontId="51" fillId="2" borderId="2" xfId="1" applyNumberFormat="1" applyFont="1" applyFill="1" applyBorder="1" applyAlignment="1">
      <alignment vertical="center"/>
    </xf>
    <xf numFmtId="165" fontId="51" fillId="2" borderId="2" xfId="1" applyNumberFormat="1" applyFont="1" applyFill="1" applyBorder="1" applyAlignment="1">
      <alignment vertical="center" wrapText="1"/>
    </xf>
    <xf numFmtId="1" fontId="51" fillId="2" borderId="2" xfId="8" applyNumberFormat="1" applyFont="1" applyFill="1" applyBorder="1" applyAlignment="1">
      <alignment horizontal="righ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5" fillId="0" borderId="2" xfId="0" applyFont="1" applyBorder="1" applyAlignment="1">
      <alignment horizontal="center" vertical="center" wrapText="1"/>
    </xf>
    <xf numFmtId="0" fontId="69" fillId="0" borderId="2" xfId="8" applyFont="1" applyBorder="1" applyAlignment="1">
      <alignment horizontal="right" vertical="center"/>
    </xf>
    <xf numFmtId="0" fontId="51" fillId="2" borderId="2" xfId="8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95" fillId="2" borderId="2" xfId="0" applyFont="1" applyFill="1" applyBorder="1" applyAlignment="1">
      <alignment horizontal="center" vertical="center"/>
    </xf>
    <xf numFmtId="1" fontId="51" fillId="0" borderId="2" xfId="8" applyNumberFormat="1" applyFont="1" applyBorder="1" applyAlignment="1">
      <alignment horizontal="center" vertical="center"/>
    </xf>
    <xf numFmtId="1" fontId="69" fillId="0" borderId="0" xfId="8" applyNumberFormat="1" applyFont="1"/>
    <xf numFmtId="0" fontId="11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6" fillId="0" borderId="2" xfId="16" applyFont="1" applyBorder="1" applyAlignment="1">
      <alignment horizontal="center" vertical="center"/>
    </xf>
    <xf numFmtId="0" fontId="16" fillId="0" borderId="2" xfId="16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1" fillId="0" borderId="2" xfId="8" applyFont="1" applyBorder="1" applyAlignment="1">
      <alignment vertical="center" textRotation="90" wrapText="1"/>
    </xf>
    <xf numFmtId="0" fontId="21" fillId="0" borderId="12" xfId="8" applyFont="1" applyBorder="1" applyAlignment="1">
      <alignment horizontal="center" vertical="center" wrapText="1"/>
    </xf>
    <xf numFmtId="0" fontId="57" fillId="0" borderId="2" xfId="8" applyFont="1" applyBorder="1" applyAlignment="1">
      <alignment vertical="center"/>
    </xf>
    <xf numFmtId="0" fontId="16" fillId="2" borderId="0" xfId="8" applyFont="1" applyFill="1"/>
    <xf numFmtId="0" fontId="52" fillId="2" borderId="2" xfId="8" applyFont="1" applyFill="1" applyBorder="1" applyAlignment="1">
      <alignment horizontal="center" vertical="center"/>
    </xf>
    <xf numFmtId="0" fontId="57" fillId="2" borderId="2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6" fillId="2" borderId="0" xfId="8" applyFont="1" applyFill="1"/>
    <xf numFmtId="0" fontId="51" fillId="2" borderId="2" xfId="8" applyFont="1" applyFill="1" applyBorder="1" applyAlignment="1">
      <alignment horizontal="center" vertical="center" wrapText="1"/>
    </xf>
    <xf numFmtId="0" fontId="52" fillId="2" borderId="2" xfId="8" applyFont="1" applyFill="1" applyBorder="1" applyAlignment="1">
      <alignment horizontal="center" vertical="center"/>
    </xf>
    <xf numFmtId="0" fontId="52" fillId="0" borderId="2" xfId="8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0" xfId="2" applyFont="1"/>
    <xf numFmtId="0" fontId="11" fillId="2" borderId="2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/>
    </xf>
    <xf numFmtId="165" fontId="51" fillId="2" borderId="2" xfId="8" applyNumberFormat="1" applyFont="1" applyFill="1" applyBorder="1" applyAlignment="1">
      <alignment horizontal="center" vertical="center"/>
    </xf>
    <xf numFmtId="165" fontId="52" fillId="2" borderId="2" xfId="8" applyNumberFormat="1" applyFont="1" applyFill="1" applyBorder="1" applyAlignment="1">
      <alignment horizontal="center" vertical="center"/>
    </xf>
    <xf numFmtId="165" fontId="51" fillId="2" borderId="2" xfId="8" applyNumberFormat="1" applyFont="1" applyFill="1" applyBorder="1" applyAlignment="1">
      <alignment horizontal="right" vertical="center"/>
    </xf>
    <xf numFmtId="165" fontId="52" fillId="2" borderId="2" xfId="8" applyNumberFormat="1" applyFont="1" applyFill="1" applyBorder="1" applyAlignment="1">
      <alignment horizontal="right" vertical="center"/>
    </xf>
    <xf numFmtId="0" fontId="11" fillId="2" borderId="0" xfId="8" applyFont="1" applyFill="1" applyBorder="1" applyAlignment="1">
      <alignment horizontal="center" vertical="center"/>
    </xf>
    <xf numFmtId="0" fontId="110" fillId="2" borderId="2" xfId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165" fontId="52" fillId="2" borderId="2" xfId="1" applyNumberFormat="1" applyFont="1" applyFill="1" applyBorder="1" applyAlignment="1">
      <alignment vertical="center"/>
    </xf>
    <xf numFmtId="2" fontId="52" fillId="2" borderId="2" xfId="1" applyNumberFormat="1" applyFont="1" applyFill="1" applyBorder="1" applyAlignment="1">
      <alignment vertical="center"/>
    </xf>
    <xf numFmtId="165" fontId="51" fillId="2" borderId="0" xfId="1" applyNumberFormat="1" applyFont="1" applyFill="1" applyBorder="1" applyAlignment="1">
      <alignment vertical="center"/>
    </xf>
    <xf numFmtId="2" fontId="51" fillId="2" borderId="0" xfId="1" applyNumberFormat="1" applyFont="1" applyFill="1" applyBorder="1" applyAlignment="1">
      <alignment vertical="center"/>
    </xf>
    <xf numFmtId="0" fontId="52" fillId="2" borderId="2" xfId="0" applyFont="1" applyFill="1" applyBorder="1" applyAlignment="1">
      <alignment vertical="center"/>
    </xf>
    <xf numFmtId="165" fontId="52" fillId="2" borderId="2" xfId="0" applyNumberFormat="1" applyFont="1" applyFill="1" applyBorder="1" applyAlignment="1">
      <alignment vertical="center"/>
    </xf>
    <xf numFmtId="2" fontId="52" fillId="2" borderId="2" xfId="0" applyNumberFormat="1" applyFont="1" applyFill="1" applyBorder="1" applyAlignment="1">
      <alignment vertical="center"/>
    </xf>
    <xf numFmtId="0" fontId="52" fillId="2" borderId="5" xfId="0" applyFont="1" applyFill="1" applyBorder="1" applyAlignment="1">
      <alignment vertical="center"/>
    </xf>
    <xf numFmtId="0" fontId="70" fillId="0" borderId="2" xfId="8" applyFont="1" applyBorder="1" applyAlignment="1">
      <alignment horizontal="right" vertical="center"/>
    </xf>
    <xf numFmtId="0" fontId="51" fillId="0" borderId="2" xfId="0" applyFont="1" applyBorder="1" applyAlignment="1">
      <alignment horizontal="right" vertical="center"/>
    </xf>
    <xf numFmtId="0" fontId="51" fillId="0" borderId="0" xfId="2" applyFont="1" applyAlignment="1">
      <alignment horizontal="right" vertical="center" wrapText="1"/>
    </xf>
    <xf numFmtId="1" fontId="57" fillId="2" borderId="2" xfId="2" applyNumberFormat="1" applyFont="1" applyFill="1" applyBorder="1" applyAlignment="1">
      <alignment horizontal="center" vertical="center" wrapText="1"/>
    </xf>
    <xf numFmtId="0" fontId="55" fillId="2" borderId="2" xfId="2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right" vertical="center"/>
    </xf>
    <xf numFmtId="1" fontId="52" fillId="2" borderId="2" xfId="2" applyNumberFormat="1" applyFont="1" applyFill="1" applyBorder="1" applyAlignment="1">
      <alignment vertical="center" wrapText="1"/>
    </xf>
    <xf numFmtId="1" fontId="11" fillId="2" borderId="2" xfId="2" applyNumberFormat="1" applyFont="1" applyFill="1" applyBorder="1" applyAlignment="1">
      <alignment horizontal="center" vertical="center" wrapText="1"/>
    </xf>
    <xf numFmtId="1" fontId="51" fillId="2" borderId="2" xfId="8" applyNumberFormat="1" applyFont="1" applyFill="1" applyBorder="1" applyAlignment="1">
      <alignment horizontal="center" vertical="center" wrapText="1"/>
    </xf>
    <xf numFmtId="2" fontId="51" fillId="2" borderId="2" xfId="8" applyNumberFormat="1" applyFont="1" applyFill="1" applyBorder="1" applyAlignment="1">
      <alignment vertical="center" wrapText="1"/>
    </xf>
    <xf numFmtId="165" fontId="51" fillId="2" borderId="2" xfId="8" applyNumberFormat="1" applyFont="1" applyFill="1" applyBorder="1" applyAlignment="1">
      <alignment vertical="center" wrapText="1"/>
    </xf>
    <xf numFmtId="165" fontId="51" fillId="2" borderId="2" xfId="11" applyNumberFormat="1" applyFont="1" applyFill="1" applyBorder="1" applyAlignment="1">
      <alignment vertical="center" wrapText="1"/>
    </xf>
    <xf numFmtId="2" fontId="52" fillId="2" borderId="2" xfId="8" applyNumberFormat="1" applyFont="1" applyFill="1" applyBorder="1" applyAlignment="1">
      <alignment vertical="center" wrapText="1"/>
    </xf>
    <xf numFmtId="165" fontId="52" fillId="2" borderId="2" xfId="8" applyNumberFormat="1" applyFont="1" applyFill="1" applyBorder="1" applyAlignment="1">
      <alignment vertical="center" wrapText="1"/>
    </xf>
    <xf numFmtId="0" fontId="11" fillId="2" borderId="0" xfId="8" applyFont="1" applyFill="1" applyAlignment="1"/>
    <xf numFmtId="0" fontId="16" fillId="2" borderId="0" xfId="8" applyFont="1" applyFill="1" applyBorder="1" applyAlignment="1">
      <alignment horizontal="left"/>
    </xf>
    <xf numFmtId="1" fontId="51" fillId="2" borderId="2" xfId="0" quotePrefix="1" applyNumberFormat="1" applyFont="1" applyFill="1" applyBorder="1" applyAlignment="1">
      <alignment horizontal="center" vertical="center" wrapText="1"/>
    </xf>
    <xf numFmtId="1" fontId="52" fillId="2" borderId="2" xfId="0" quotePrefix="1" applyNumberFormat="1" applyFont="1" applyFill="1" applyBorder="1" applyAlignment="1">
      <alignment horizontal="center" vertical="center" wrapText="1"/>
    </xf>
    <xf numFmtId="0" fontId="52" fillId="0" borderId="2" xfId="2" applyFont="1" applyBorder="1" applyAlignment="1">
      <alignment horizontal="center" vertical="center"/>
    </xf>
    <xf numFmtId="0" fontId="51" fillId="0" borderId="2" xfId="2" applyFont="1" applyBorder="1" applyAlignment="1">
      <alignment horizontal="center" vertical="center"/>
    </xf>
    <xf numFmtId="0" fontId="57" fillId="0" borderId="2" xfId="8" applyFont="1" applyBorder="1" applyAlignment="1">
      <alignment horizontal="right" vertical="center" wrapText="1"/>
    </xf>
    <xf numFmtId="2" fontId="57" fillId="0" borderId="2" xfId="8" applyNumberFormat="1" applyFont="1" applyBorder="1" applyAlignment="1">
      <alignment horizontal="right" vertical="center"/>
    </xf>
    <xf numFmtId="0" fontId="57" fillId="0" borderId="2" xfId="8" applyFont="1" applyBorder="1" applyAlignment="1">
      <alignment horizontal="right" vertical="center"/>
    </xf>
    <xf numFmtId="0" fontId="55" fillId="0" borderId="2" xfId="8" applyFont="1" applyBorder="1" applyAlignment="1">
      <alignment horizontal="right" vertical="center"/>
    </xf>
    <xf numFmtId="0" fontId="119" fillId="0" borderId="2" xfId="0" applyFont="1" applyBorder="1" applyAlignment="1">
      <alignment horizontal="center" vertical="center" wrapText="1"/>
    </xf>
    <xf numFmtId="0" fontId="120" fillId="0" borderId="2" xfId="0" applyFont="1" applyBorder="1" applyAlignment="1">
      <alignment horizontal="center" vertical="center" wrapText="1"/>
    </xf>
    <xf numFmtId="0" fontId="122" fillId="0" borderId="2" xfId="18" applyFont="1" applyBorder="1" applyAlignment="1" applyProtection="1">
      <alignment horizontal="center" vertical="center" wrapText="1"/>
    </xf>
    <xf numFmtId="2" fontId="11" fillId="2" borderId="2" xfId="3" applyNumberFormat="1" applyFont="1" applyFill="1" applyBorder="1" applyAlignment="1">
      <alignment horizontal="right" vertical="center"/>
    </xf>
    <xf numFmtId="0" fontId="69" fillId="0" borderId="2" xfId="0" applyFont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1" fontId="51" fillId="0" borderId="2" xfId="1" applyNumberFormat="1" applyFont="1" applyBorder="1" applyAlignment="1">
      <alignment horizontal="right"/>
    </xf>
    <xf numFmtId="1" fontId="51" fillId="2" borderId="2" xfId="1" applyNumberFormat="1" applyFont="1" applyFill="1" applyBorder="1" applyAlignment="1">
      <alignment horizontal="right" vertical="center"/>
    </xf>
    <xf numFmtId="1" fontId="52" fillId="2" borderId="2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wrapText="1"/>
    </xf>
    <xf numFmtId="1" fontId="0" fillId="0" borderId="2" xfId="0" applyNumberFormat="1" applyBorder="1" applyAlignment="1">
      <alignment horizontal="right" wrapText="1"/>
    </xf>
    <xf numFmtId="0" fontId="51" fillId="2" borderId="2" xfId="1" applyFont="1" applyFill="1" applyBorder="1" applyAlignment="1">
      <alignment horizontal="right"/>
    </xf>
    <xf numFmtId="1" fontId="51" fillId="2" borderId="2" xfId="1" applyNumberFormat="1" applyFont="1" applyFill="1" applyBorder="1" applyAlignment="1">
      <alignment horizontal="right"/>
    </xf>
    <xf numFmtId="1" fontId="52" fillId="0" borderId="0" xfId="1" applyNumberFormat="1" applyFont="1"/>
    <xf numFmtId="0" fontId="57" fillId="2" borderId="2" xfId="2" applyFont="1" applyFill="1" applyBorder="1" applyAlignment="1">
      <alignment horizontal="center" vertical="center" wrapText="1"/>
    </xf>
    <xf numFmtId="0" fontId="69" fillId="2" borderId="2" xfId="2" applyFont="1" applyFill="1" applyBorder="1" applyAlignment="1">
      <alignment horizontal="center" vertical="center" wrapText="1"/>
    </xf>
    <xf numFmtId="0" fontId="51" fillId="0" borderId="3" xfId="2" applyFont="1" applyBorder="1" applyAlignment="1">
      <alignment horizontal="center" vertical="center" wrapText="1"/>
    </xf>
    <xf numFmtId="2" fontId="57" fillId="2" borderId="2" xfId="2" applyNumberFormat="1" applyFont="1" applyFill="1" applyBorder="1" applyAlignment="1">
      <alignment horizontal="center" vertical="center" wrapText="1"/>
    </xf>
    <xf numFmtId="2" fontId="55" fillId="2" borderId="2" xfId="2" applyNumberFormat="1" applyFont="1" applyFill="1" applyBorder="1" applyAlignment="1">
      <alignment horizontal="center" vertical="center" wrapText="1"/>
    </xf>
    <xf numFmtId="0" fontId="60" fillId="2" borderId="2" xfId="2" applyFont="1" applyFill="1" applyBorder="1" applyAlignment="1">
      <alignment horizontal="center" vertical="center" wrapText="1"/>
    </xf>
    <xf numFmtId="2" fontId="11" fillId="2" borderId="13" xfId="8" applyNumberFormat="1" applyFont="1" applyFill="1" applyBorder="1" applyAlignment="1">
      <alignment vertical="center"/>
    </xf>
    <xf numFmtId="165" fontId="16" fillId="2" borderId="0" xfId="3" applyNumberFormat="1" applyFont="1" applyFill="1" applyBorder="1" applyAlignment="1"/>
    <xf numFmtId="0" fontId="16" fillId="2" borderId="2" xfId="3" applyFont="1" applyFill="1" applyBorder="1" applyAlignment="1">
      <alignment horizontal="center" vertical="center"/>
    </xf>
    <xf numFmtId="2" fontId="16" fillId="2" borderId="0" xfId="3" applyNumberFormat="1" applyFont="1" applyFill="1"/>
    <xf numFmtId="165" fontId="16" fillId="2" borderId="0" xfId="3" applyNumberFormat="1" applyFill="1"/>
    <xf numFmtId="0" fontId="16" fillId="2" borderId="0" xfId="3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61" fillId="0" borderId="2" xfId="0" applyFont="1" applyBorder="1" applyAlignment="1">
      <alignment horizontal="center" vertical="center" wrapText="1"/>
    </xf>
    <xf numFmtId="1" fontId="51" fillId="0" borderId="2" xfId="8" applyNumberFormat="1" applyFont="1" applyBorder="1" applyAlignment="1">
      <alignment horizontal="center" vertical="center" wrapText="1"/>
    </xf>
    <xf numFmtId="0" fontId="123" fillId="0" borderId="2" xfId="0" applyFont="1" applyBorder="1" applyAlignment="1">
      <alignment horizontal="center" vertical="center" wrapText="1"/>
    </xf>
    <xf numFmtId="0" fontId="113" fillId="0" borderId="2" xfId="0" applyFont="1" applyBorder="1" applyAlignment="1">
      <alignment horizontal="left" vertical="center" wrapText="1"/>
    </xf>
    <xf numFmtId="0" fontId="123" fillId="0" borderId="2" xfId="0" applyFont="1" applyBorder="1" applyAlignment="1">
      <alignment horizontal="left" vertical="center" wrapText="1"/>
    </xf>
    <xf numFmtId="0" fontId="46" fillId="0" borderId="2" xfId="0" applyFont="1" applyBorder="1" applyAlignment="1">
      <alignment wrapText="1"/>
    </xf>
    <xf numFmtId="0" fontId="18" fillId="2" borderId="2" xfId="4" applyFont="1" applyFill="1" applyBorder="1" applyAlignment="1">
      <alignment vertical="center" wrapText="1"/>
    </xf>
    <xf numFmtId="0" fontId="57" fillId="2" borderId="2" xfId="0" applyFont="1" applyFill="1" applyBorder="1" applyAlignment="1">
      <alignment horizontal="center" vertical="center" wrapText="1"/>
    </xf>
    <xf numFmtId="2" fontId="55" fillId="2" borderId="2" xfId="0" applyNumberFormat="1" applyFont="1" applyFill="1" applyBorder="1" applyAlignment="1">
      <alignment horizontal="right" vertical="center" wrapText="1"/>
    </xf>
    <xf numFmtId="2" fontId="69" fillId="0" borderId="0" xfId="0" applyNumberFormat="1" applyFont="1"/>
    <xf numFmtId="2" fontId="69" fillId="0" borderId="2" xfId="0" applyNumberFormat="1" applyFont="1" applyBorder="1" applyAlignment="1">
      <alignment vertical="center"/>
    </xf>
    <xf numFmtId="2" fontId="57" fillId="0" borderId="2" xfId="0" applyNumberFormat="1" applyFont="1" applyBorder="1" applyAlignment="1">
      <alignment vertical="center"/>
    </xf>
    <xf numFmtId="2" fontId="69" fillId="2" borderId="2" xfId="0" applyNumberFormat="1" applyFont="1" applyFill="1" applyBorder="1" applyAlignment="1">
      <alignment vertical="center"/>
    </xf>
    <xf numFmtId="1" fontId="69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2" fontId="52" fillId="0" borderId="0" xfId="8" applyNumberFormat="1" applyFont="1" applyAlignment="1">
      <alignment horizontal="right" vertical="center" wrapText="1"/>
    </xf>
    <xf numFmtId="0" fontId="61" fillId="0" borderId="2" xfId="1" applyFont="1" applyBorder="1"/>
    <xf numFmtId="0" fontId="61" fillId="0" borderId="2" xfId="1" applyFont="1" applyBorder="1" applyAlignment="1">
      <alignment horizontal="center" vertical="center"/>
    </xf>
    <xf numFmtId="0" fontId="107" fillId="2" borderId="0" xfId="2" applyFont="1" applyFill="1" applyAlignment="1">
      <alignment vertical="center" wrapText="1"/>
    </xf>
    <xf numFmtId="2" fontId="16" fillId="0" borderId="0" xfId="0" applyNumberFormat="1" applyFont="1"/>
    <xf numFmtId="2" fontId="21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" fontId="55" fillId="2" borderId="2" xfId="8" applyNumberFormat="1" applyFont="1" applyFill="1" applyBorder="1" applyAlignment="1">
      <alignment horizontal="center" vertical="center" wrapText="1"/>
    </xf>
    <xf numFmtId="0" fontId="70" fillId="0" borderId="2" xfId="8" applyFont="1" applyBorder="1" applyAlignment="1">
      <alignment vertical="center"/>
    </xf>
    <xf numFmtId="2" fontId="69" fillId="0" borderId="0" xfId="8" applyNumberFormat="1" applyFont="1"/>
    <xf numFmtId="165" fontId="16" fillId="2" borderId="0" xfId="2" applyNumberFormat="1" applyFont="1" applyFill="1" applyAlignment="1">
      <alignment wrapText="1"/>
    </xf>
    <xf numFmtId="0" fontId="52" fillId="0" borderId="2" xfId="8" applyFont="1" applyBorder="1" applyAlignment="1">
      <alignment horizontal="center" vertical="center"/>
    </xf>
    <xf numFmtId="2" fontId="55" fillId="0" borderId="2" xfId="8" applyNumberFormat="1" applyFont="1" applyBorder="1" applyAlignment="1">
      <alignment horizontal="right" vertical="center"/>
    </xf>
    <xf numFmtId="0" fontId="52" fillId="0" borderId="2" xfId="2" applyFont="1" applyBorder="1" applyAlignment="1">
      <alignment horizontal="center" vertical="center" wrapText="1"/>
    </xf>
    <xf numFmtId="0" fontId="51" fillId="0" borderId="2" xfId="2" applyFont="1" applyBorder="1" applyAlignment="1">
      <alignment horizontal="center" vertical="center" wrapText="1"/>
    </xf>
    <xf numFmtId="0" fontId="26" fillId="2" borderId="5" xfId="3" applyFont="1" applyFill="1" applyBorder="1" applyAlignment="1">
      <alignment horizontal="center" vertical="top" wrapText="1"/>
    </xf>
    <xf numFmtId="0" fontId="26" fillId="2" borderId="9" xfId="3" applyFont="1" applyFill="1" applyBorder="1" applyAlignment="1">
      <alignment horizontal="center" vertical="top" wrapText="1"/>
    </xf>
    <xf numFmtId="0" fontId="26" fillId="2" borderId="6" xfId="3" applyFont="1" applyFill="1" applyBorder="1" applyAlignment="1">
      <alignment horizontal="center" vertical="top" wrapText="1"/>
    </xf>
    <xf numFmtId="0" fontId="16" fillId="0" borderId="0" xfId="2" applyFont="1"/>
    <xf numFmtId="1" fontId="16" fillId="2" borderId="0" xfId="11" applyNumberFormat="1" applyFont="1" applyFill="1" applyAlignment="1">
      <alignment horizontal="center" vertical="center"/>
    </xf>
    <xf numFmtId="2" fontId="16" fillId="2" borderId="0" xfId="3" applyNumberFormat="1" applyFont="1" applyFill="1" applyBorder="1" applyAlignment="1"/>
    <xf numFmtId="0" fontId="124" fillId="0" borderId="0" xfId="0" applyFont="1"/>
    <xf numFmtId="168" fontId="16" fillId="2" borderId="0" xfId="3" applyNumberFormat="1" applyFill="1"/>
    <xf numFmtId="0" fontId="51" fillId="2" borderId="2" xfId="8" applyFont="1" applyFill="1" applyBorder="1" applyAlignment="1">
      <alignment horizontal="center" vertical="center" wrapText="1"/>
    </xf>
    <xf numFmtId="0" fontId="11" fillId="0" borderId="2" xfId="8" applyFont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1" fontId="11" fillId="2" borderId="0" xfId="2" applyNumberFormat="1" applyFont="1" applyFill="1" applyBorder="1"/>
    <xf numFmtId="164" fontId="24" fillId="2" borderId="13" xfId="8" applyNumberFormat="1" applyFont="1" applyFill="1" applyBorder="1" applyAlignment="1">
      <alignment vertical="center" wrapText="1"/>
    </xf>
    <xf numFmtId="165" fontId="52" fillId="2" borderId="13" xfId="8" applyNumberFormat="1" applyFont="1" applyFill="1" applyBorder="1" applyAlignment="1">
      <alignment vertical="center" wrapText="1"/>
    </xf>
    <xf numFmtId="2" fontId="24" fillId="2" borderId="13" xfId="8" applyNumberFormat="1" applyFont="1" applyFill="1" applyBorder="1" applyAlignment="1">
      <alignment vertical="center"/>
    </xf>
    <xf numFmtId="0" fontId="11" fillId="2" borderId="12" xfId="2" applyFont="1" applyFill="1" applyBorder="1" applyAlignment="1">
      <alignment vertical="center"/>
    </xf>
    <xf numFmtId="0" fontId="11" fillId="2" borderId="13" xfId="2" applyFont="1" applyFill="1" applyBorder="1" applyAlignment="1">
      <alignment vertical="center"/>
    </xf>
    <xf numFmtId="0" fontId="11" fillId="2" borderId="14" xfId="2" applyFont="1" applyFill="1" applyBorder="1" applyAlignment="1">
      <alignment vertical="center"/>
    </xf>
    <xf numFmtId="0" fontId="11" fillId="2" borderId="11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11" fillId="2" borderId="17" xfId="2" applyFont="1" applyFill="1" applyBorder="1" applyAlignment="1">
      <alignment vertical="center"/>
    </xf>
    <xf numFmtId="0" fontId="11" fillId="2" borderId="8" xfId="2" applyFont="1" applyFill="1" applyBorder="1" applyAlignment="1">
      <alignment vertical="center"/>
    </xf>
    <xf numFmtId="0" fontId="11" fillId="2" borderId="7" xfId="2" applyFont="1" applyFill="1" applyBorder="1" applyAlignment="1">
      <alignment vertical="center"/>
    </xf>
    <xf numFmtId="0" fontId="11" fillId="2" borderId="15" xfId="2" applyFont="1" applyFill="1" applyBorder="1" applyAlignment="1">
      <alignment vertical="center"/>
    </xf>
    <xf numFmtId="0" fontId="11" fillId="2" borderId="2" xfId="2" applyFont="1" applyFill="1" applyBorder="1" applyAlignment="1">
      <alignment vertical="center"/>
    </xf>
    <xf numFmtId="0" fontId="79" fillId="0" borderId="12" xfId="2" applyFont="1" applyBorder="1" applyAlignment="1">
      <alignment vertical="center"/>
    </xf>
    <xf numFmtId="0" fontId="79" fillId="0" borderId="13" xfId="2" applyFont="1" applyBorder="1" applyAlignment="1">
      <alignment vertical="center"/>
    </xf>
    <xf numFmtId="0" fontId="79" fillId="0" borderId="14" xfId="2" applyFont="1" applyBorder="1" applyAlignment="1">
      <alignment vertical="center"/>
    </xf>
    <xf numFmtId="0" fontId="79" fillId="0" borderId="11" xfId="2" applyFont="1" applyBorder="1" applyAlignment="1">
      <alignment vertical="center"/>
    </xf>
    <xf numFmtId="0" fontId="79" fillId="0" borderId="0" xfId="2" applyFont="1" applyBorder="1" applyAlignment="1">
      <alignment vertical="center"/>
    </xf>
    <xf numFmtId="0" fontId="79" fillId="0" borderId="17" xfId="2" applyFont="1" applyBorder="1" applyAlignment="1">
      <alignment vertical="center"/>
    </xf>
    <xf numFmtId="0" fontId="79" fillId="0" borderId="8" xfId="2" applyFont="1" applyBorder="1" applyAlignment="1">
      <alignment vertical="center"/>
    </xf>
    <xf numFmtId="0" fontId="79" fillId="0" borderId="7" xfId="2" applyFont="1" applyBorder="1" applyAlignment="1">
      <alignment vertical="center"/>
    </xf>
    <xf numFmtId="0" fontId="79" fillId="0" borderId="15" xfId="2" applyFont="1" applyBorder="1" applyAlignment="1">
      <alignment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6" fillId="2" borderId="0" xfId="8" applyFont="1" applyFill="1"/>
    <xf numFmtId="0" fontId="11" fillId="2" borderId="0" xfId="8" applyFont="1" applyFill="1" applyAlignment="1">
      <alignment horizontal="center"/>
    </xf>
    <xf numFmtId="0" fontId="20" fillId="2" borderId="0" xfId="8" applyFont="1" applyFill="1" applyAlignment="1">
      <alignment horizontal="center"/>
    </xf>
    <xf numFmtId="0" fontId="52" fillId="2" borderId="2" xfId="8" applyFont="1" applyFill="1" applyBorder="1" applyAlignment="1">
      <alignment horizontal="center" vertical="center"/>
    </xf>
    <xf numFmtId="0" fontId="51" fillId="2" borderId="2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horizontal="left"/>
    </xf>
    <xf numFmtId="0" fontId="11" fillId="2" borderId="0" xfId="8" applyFont="1" applyFill="1" applyBorder="1" applyAlignment="1">
      <alignment horizontal="right"/>
    </xf>
    <xf numFmtId="0" fontId="11" fillId="2" borderId="2" xfId="8" applyFont="1" applyFill="1" applyBorder="1" applyAlignment="1">
      <alignment horizontal="center" vertical="center" wrapText="1"/>
    </xf>
    <xf numFmtId="0" fontId="12" fillId="2" borderId="0" xfId="8" applyFont="1" applyFill="1" applyAlignment="1">
      <alignment horizontal="right"/>
    </xf>
    <xf numFmtId="0" fontId="26" fillId="2" borderId="5" xfId="3" applyFont="1" applyFill="1" applyBorder="1" applyAlignment="1">
      <alignment horizontal="center" vertical="top" wrapText="1"/>
    </xf>
    <xf numFmtId="0" fontId="26" fillId="2" borderId="9" xfId="3" applyFont="1" applyFill="1" applyBorder="1" applyAlignment="1">
      <alignment horizontal="center" vertical="top" wrapText="1"/>
    </xf>
    <xf numFmtId="0" fontId="26" fillId="2" borderId="6" xfId="3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15" fillId="0" borderId="0" xfId="0" applyFont="1" applyAlignment="1">
      <alignment horizontal="center" wrapText="1"/>
    </xf>
    <xf numFmtId="0" fontId="52" fillId="0" borderId="0" xfId="2" applyFont="1" applyAlignment="1">
      <alignment horizontal="center" vertical="center" wrapText="1"/>
    </xf>
    <xf numFmtId="0" fontId="53" fillId="0" borderId="0" xfId="2" applyFont="1" applyAlignment="1">
      <alignment horizontal="right" vertical="center" wrapText="1"/>
    </xf>
    <xf numFmtId="0" fontId="54" fillId="0" borderId="0" xfId="2" applyFont="1" applyAlignment="1">
      <alignment horizontal="center" vertical="center" wrapText="1"/>
    </xf>
    <xf numFmtId="0" fontId="55" fillId="0" borderId="0" xfId="2" applyFont="1" applyAlignment="1">
      <alignment horizontal="left" vertical="center" wrapText="1"/>
    </xf>
    <xf numFmtId="0" fontId="52" fillId="0" borderId="2" xfId="2" applyFont="1" applyFill="1" applyBorder="1" applyAlignment="1">
      <alignment horizontal="center" vertical="center" wrapText="1"/>
    </xf>
    <xf numFmtId="0" fontId="56" fillId="0" borderId="2" xfId="2" quotePrefix="1" applyFont="1" applyBorder="1" applyAlignment="1">
      <alignment horizontal="center" vertical="center" wrapText="1"/>
    </xf>
    <xf numFmtId="0" fontId="52" fillId="0" borderId="0" xfId="2" applyFont="1" applyAlignment="1">
      <alignment horizontal="left" vertical="center" wrapText="1"/>
    </xf>
    <xf numFmtId="0" fontId="52" fillId="0" borderId="2" xfId="2" applyFont="1" applyBorder="1" applyAlignment="1">
      <alignment horizontal="center" vertical="center" wrapText="1"/>
    </xf>
    <xf numFmtId="0" fontId="57" fillId="2" borderId="2" xfId="2" applyFont="1" applyFill="1" applyBorder="1" applyAlignment="1">
      <alignment horizontal="center" vertical="center" wrapText="1"/>
    </xf>
    <xf numFmtId="0" fontId="52" fillId="0" borderId="0" xfId="2" applyFont="1" applyBorder="1" applyAlignment="1">
      <alignment horizontal="left" vertical="center" wrapText="1"/>
    </xf>
    <xf numFmtId="0" fontId="52" fillId="0" borderId="5" xfId="2" applyFont="1" applyBorder="1" applyAlignment="1">
      <alignment horizontal="center" vertical="center" wrapText="1"/>
    </xf>
    <xf numFmtId="0" fontId="52" fillId="0" borderId="6" xfId="2" applyFont="1" applyBorder="1" applyAlignment="1">
      <alignment horizontal="center" vertical="center" wrapText="1"/>
    </xf>
    <xf numFmtId="0" fontId="55" fillId="0" borderId="5" xfId="2" applyFont="1" applyBorder="1" applyAlignment="1">
      <alignment horizontal="center" vertical="center" wrapText="1"/>
    </xf>
    <xf numFmtId="0" fontId="55" fillId="0" borderId="6" xfId="2" applyFont="1" applyBorder="1" applyAlignment="1">
      <alignment horizontal="center" vertical="center" wrapText="1"/>
    </xf>
    <xf numFmtId="0" fontId="56" fillId="0" borderId="5" xfId="2" quotePrefix="1" applyFont="1" applyBorder="1" applyAlignment="1">
      <alignment horizontal="center" vertical="center" wrapText="1"/>
    </xf>
    <xf numFmtId="0" fontId="56" fillId="0" borderId="9" xfId="2" quotePrefix="1" applyFont="1" applyBorder="1" applyAlignment="1">
      <alignment horizontal="center" vertical="center" wrapText="1"/>
    </xf>
    <xf numFmtId="0" fontId="56" fillId="0" borderId="6" xfId="2" quotePrefix="1" applyFont="1" applyBorder="1" applyAlignment="1">
      <alignment horizontal="center" vertical="center" wrapText="1"/>
    </xf>
    <xf numFmtId="0" fontId="52" fillId="0" borderId="5" xfId="2" applyFont="1" applyBorder="1" applyAlignment="1">
      <alignment horizontal="left" vertical="center" wrapText="1"/>
    </xf>
    <xf numFmtId="0" fontId="52" fillId="0" borderId="9" xfId="2" applyFont="1" applyBorder="1" applyAlignment="1">
      <alignment horizontal="left" vertical="center" wrapText="1"/>
    </xf>
    <xf numFmtId="0" fontId="52" fillId="0" borderId="6" xfId="2" applyFont="1" applyBorder="1" applyAlignment="1">
      <alignment horizontal="left" vertical="center" wrapText="1"/>
    </xf>
    <xf numFmtId="0" fontId="51" fillId="0" borderId="5" xfId="2" applyFont="1" applyBorder="1" applyAlignment="1">
      <alignment horizontal="center" vertical="center" wrapText="1"/>
    </xf>
    <xf numFmtId="0" fontId="51" fillId="0" borderId="6" xfId="2" applyFont="1" applyBorder="1" applyAlignment="1">
      <alignment horizontal="center" vertical="center" wrapText="1"/>
    </xf>
    <xf numFmtId="0" fontId="0" fillId="0" borderId="6" xfId="0" applyBorder="1"/>
    <xf numFmtId="0" fontId="51" fillId="0" borderId="2" xfId="2" applyFont="1" applyBorder="1" applyAlignment="1">
      <alignment horizontal="center" vertical="center" wrapText="1"/>
    </xf>
    <xf numFmtId="2" fontId="51" fillId="0" borderId="5" xfId="2" applyNumberFormat="1" applyFont="1" applyBorder="1" applyAlignment="1">
      <alignment horizontal="center" vertical="center" wrapText="1"/>
    </xf>
    <xf numFmtId="2" fontId="51" fillId="0" borderId="6" xfId="2" applyNumberFormat="1" applyFont="1" applyBorder="1" applyAlignment="1">
      <alignment horizontal="center" vertical="center" wrapText="1"/>
    </xf>
    <xf numFmtId="0" fontId="51" fillId="2" borderId="5" xfId="2" applyFont="1" applyFill="1" applyBorder="1" applyAlignment="1">
      <alignment horizontal="center" vertical="center" wrapText="1"/>
    </xf>
    <xf numFmtId="0" fontId="51" fillId="2" borderId="6" xfId="2" applyFont="1" applyFill="1" applyBorder="1" applyAlignment="1">
      <alignment horizontal="center" vertical="center" wrapText="1"/>
    </xf>
    <xf numFmtId="0" fontId="51" fillId="0" borderId="0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52" fillId="0" borderId="1" xfId="2" applyFont="1" applyBorder="1" applyAlignment="1">
      <alignment horizontal="center" vertical="center" wrapText="1"/>
    </xf>
    <xf numFmtId="0" fontId="52" fillId="0" borderId="3" xfId="2" applyFont="1" applyBorder="1" applyAlignment="1">
      <alignment horizontal="center" vertical="center" wrapText="1"/>
    </xf>
    <xf numFmtId="0" fontId="51" fillId="0" borderId="0" xfId="2" applyFont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left" vertical="center" wrapText="1"/>
    </xf>
    <xf numFmtId="0" fontId="17" fillId="2" borderId="6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2" fillId="2" borderId="0" xfId="2" applyFont="1" applyFill="1" applyAlignment="1">
      <alignment horizontal="left"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1" fillId="2" borderId="12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47" fillId="2" borderId="7" xfId="0" applyFont="1" applyFill="1" applyBorder="1" applyAlignment="1">
      <alignment horizontal="center"/>
    </xf>
    <xf numFmtId="0" fontId="15" fillId="0" borderId="5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5" xfId="4" applyFont="1" applyBorder="1" applyAlignment="1">
      <alignment horizontal="left" vertical="center" wrapText="1"/>
    </xf>
    <xf numFmtId="0" fontId="15" fillId="0" borderId="6" xfId="4" applyFont="1" applyBorder="1" applyAlignment="1">
      <alignment horizontal="left" vertical="center" wrapText="1"/>
    </xf>
    <xf numFmtId="0" fontId="24" fillId="0" borderId="12" xfId="4" applyFont="1" applyBorder="1" applyAlignment="1">
      <alignment horizontal="center" vertical="center" wrapText="1"/>
    </xf>
    <xf numFmtId="0" fontId="24" fillId="0" borderId="13" xfId="4" applyFont="1" applyBorder="1" applyAlignment="1">
      <alignment horizontal="center" vertical="center" wrapText="1"/>
    </xf>
    <xf numFmtId="0" fontId="24" fillId="0" borderId="14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 wrapText="1"/>
    </xf>
    <xf numFmtId="0" fontId="24" fillId="0" borderId="7" xfId="4" applyFont="1" applyBorder="1" applyAlignment="1">
      <alignment horizontal="center" vertical="center" wrapText="1"/>
    </xf>
    <xf numFmtId="0" fontId="24" fillId="0" borderId="15" xfId="4" applyFont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2" fontId="16" fillId="0" borderId="12" xfId="4" applyNumberFormat="1" applyFont="1" applyBorder="1" applyAlignment="1">
      <alignment horizontal="center" vertical="center" wrapText="1"/>
    </xf>
    <xf numFmtId="2" fontId="16" fillId="0" borderId="13" xfId="4" applyNumberFormat="1" applyFont="1" applyBorder="1" applyAlignment="1">
      <alignment horizontal="center" vertical="center" wrapText="1"/>
    </xf>
    <xf numFmtId="2" fontId="16" fillId="0" borderId="14" xfId="4" applyNumberFormat="1" applyFont="1" applyBorder="1" applyAlignment="1">
      <alignment horizontal="center" vertical="center" wrapText="1"/>
    </xf>
    <xf numFmtId="2" fontId="16" fillId="0" borderId="8" xfId="4" applyNumberFormat="1" applyFont="1" applyBorder="1" applyAlignment="1">
      <alignment horizontal="center" vertical="center" wrapText="1"/>
    </xf>
    <xf numFmtId="2" fontId="16" fillId="0" borderId="7" xfId="4" applyNumberFormat="1" applyFont="1" applyBorder="1" applyAlignment="1">
      <alignment horizontal="center" vertical="center" wrapText="1"/>
    </xf>
    <xf numFmtId="2" fontId="16" fillId="0" borderId="15" xfId="4" applyNumberFormat="1" applyFont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38" fillId="0" borderId="0" xfId="2" applyFont="1" applyAlignment="1">
      <alignment horizontal="center"/>
    </xf>
    <xf numFmtId="0" fontId="11" fillId="0" borderId="0" xfId="4" applyFont="1" applyAlignment="1">
      <alignment horizontal="left"/>
    </xf>
    <xf numFmtId="0" fontId="26" fillId="0" borderId="7" xfId="4" applyFont="1" applyBorder="1" applyAlignment="1">
      <alignment horizontal="center"/>
    </xf>
    <xf numFmtId="0" fontId="24" fillId="0" borderId="1" xfId="4" applyFont="1" applyBorder="1" applyAlignment="1">
      <alignment horizontal="center" vertical="center" wrapText="1"/>
    </xf>
    <xf numFmtId="0" fontId="24" fillId="0" borderId="10" xfId="4" applyFont="1" applyBorder="1" applyAlignment="1">
      <alignment horizontal="center" vertical="center" wrapText="1"/>
    </xf>
    <xf numFmtId="0" fontId="24" fillId="0" borderId="3" xfId="4" applyFont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 wrapText="1"/>
    </xf>
    <xf numFmtId="0" fontId="26" fillId="2" borderId="7" xfId="0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 wrapText="1"/>
    </xf>
    <xf numFmtId="0" fontId="61" fillId="0" borderId="1" xfId="2" applyFont="1" applyBorder="1" applyAlignment="1">
      <alignment horizontal="center" vertical="center" textRotation="90" wrapText="1"/>
    </xf>
    <xf numFmtId="0" fontId="61" fillId="0" borderId="10" xfId="2" applyFont="1" applyBorder="1" applyAlignment="1">
      <alignment horizontal="center" vertical="center" textRotation="90" wrapText="1"/>
    </xf>
    <xf numFmtId="0" fontId="61" fillId="0" borderId="3" xfId="2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51" fillId="0" borderId="1" xfId="2" applyFont="1" applyBorder="1" applyAlignment="1">
      <alignment horizontal="center" vertical="center" textRotation="90" wrapText="1"/>
    </xf>
    <xf numFmtId="0" fontId="51" fillId="0" borderId="10" xfId="2" applyFont="1" applyBorder="1" applyAlignment="1">
      <alignment horizontal="center" vertical="center" textRotation="90" wrapText="1"/>
    </xf>
    <xf numFmtId="0" fontId="51" fillId="0" borderId="3" xfId="2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left"/>
    </xf>
    <xf numFmtId="0" fontId="24" fillId="2" borderId="2" xfId="2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/>
    </xf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9" fillId="2" borderId="0" xfId="2" applyFont="1" applyFill="1" applyBorder="1" applyAlignment="1">
      <alignment horizontal="left" vertical="center" wrapText="1"/>
    </xf>
    <xf numFmtId="0" fontId="61" fillId="2" borderId="0" xfId="2" applyFont="1" applyFill="1" applyAlignment="1">
      <alignment horizontal="left" vertical="center" wrapText="1"/>
    </xf>
    <xf numFmtId="0" fontId="39" fillId="0" borderId="0" xfId="8" applyFont="1" applyAlignment="1">
      <alignment horizontal="center"/>
    </xf>
    <xf numFmtId="0" fontId="40" fillId="0" borderId="0" xfId="8" applyFont="1" applyAlignment="1">
      <alignment horizontal="center"/>
    </xf>
    <xf numFmtId="0" fontId="39" fillId="0" borderId="0" xfId="8" applyFont="1" applyAlignment="1">
      <alignment horizontal="center" wrapText="1"/>
    </xf>
    <xf numFmtId="0" fontId="26" fillId="0" borderId="7" xfId="8" applyFont="1" applyBorder="1" applyAlignment="1">
      <alignment horizontal="center"/>
    </xf>
    <xf numFmtId="0" fontId="11" fillId="2" borderId="0" xfId="2" applyFont="1" applyFill="1" applyAlignment="1">
      <alignment horizontal="center"/>
    </xf>
    <xf numFmtId="0" fontId="21" fillId="2" borderId="0" xfId="2" applyFont="1" applyFill="1" applyAlignment="1">
      <alignment horizontal="center"/>
    </xf>
    <xf numFmtId="0" fontId="20" fillId="2" borderId="0" xfId="2" applyFont="1" applyFill="1" applyAlignment="1">
      <alignment horizontal="center"/>
    </xf>
    <xf numFmtId="0" fontId="14" fillId="2" borderId="0" xfId="2" applyFont="1" applyFill="1" applyAlignment="1">
      <alignment horizontal="center" wrapText="1"/>
    </xf>
    <xf numFmtId="0" fontId="52" fillId="2" borderId="7" xfId="2" applyFont="1" applyFill="1" applyBorder="1" applyAlignment="1">
      <alignment horizontal="left" vertical="center" wrapText="1"/>
    </xf>
    <xf numFmtId="0" fontId="26" fillId="2" borderId="7" xfId="2" applyFont="1" applyFill="1" applyBorder="1" applyAlignment="1">
      <alignment horizontal="right"/>
    </xf>
    <xf numFmtId="0" fontId="16" fillId="2" borderId="0" xfId="2" applyFont="1" applyFill="1"/>
    <xf numFmtId="0" fontId="69" fillId="2" borderId="2" xfId="2" applyFont="1" applyFill="1" applyBorder="1" applyAlignment="1">
      <alignment horizontal="center" vertical="center" wrapText="1"/>
    </xf>
    <xf numFmtId="0" fontId="69" fillId="2" borderId="5" xfId="2" applyFont="1" applyFill="1" applyBorder="1" applyAlignment="1">
      <alignment horizontal="center" vertical="center"/>
    </xf>
    <xf numFmtId="0" fontId="69" fillId="2" borderId="9" xfId="2" applyFont="1" applyFill="1" applyBorder="1" applyAlignment="1">
      <alignment horizontal="center" vertical="center"/>
    </xf>
    <xf numFmtId="0" fontId="69" fillId="2" borderId="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0" fontId="16" fillId="2" borderId="13" xfId="2" applyFont="1" applyFill="1" applyBorder="1" applyAlignment="1">
      <alignment horizontal="left"/>
    </xf>
    <xf numFmtId="0" fontId="11" fillId="2" borderId="2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52" fillId="0" borderId="0" xfId="2" applyFont="1" applyAlignment="1">
      <alignment horizontal="center"/>
    </xf>
    <xf numFmtId="0" fontId="51" fillId="0" borderId="0" xfId="2" applyFont="1" applyAlignment="1">
      <alignment horizontal="center"/>
    </xf>
    <xf numFmtId="0" fontId="72" fillId="0" borderId="0" xfId="2" applyFont="1" applyAlignment="1">
      <alignment horizontal="center"/>
    </xf>
    <xf numFmtId="0" fontId="73" fillId="0" borderId="0" xfId="2" applyFont="1" applyAlignment="1">
      <alignment horizontal="center" wrapText="1"/>
    </xf>
    <xf numFmtId="0" fontId="52" fillId="0" borderId="7" xfId="2" applyFont="1" applyBorder="1" applyAlignment="1">
      <alignment horizontal="left" vertical="center" wrapText="1"/>
    </xf>
    <xf numFmtId="0" fontId="56" fillId="0" borderId="7" xfId="2" applyFont="1" applyBorder="1" applyAlignment="1">
      <alignment horizontal="right" vertical="center" wrapText="1"/>
    </xf>
    <xf numFmtId="0" fontId="51" fillId="0" borderId="0" xfId="2" applyFont="1"/>
    <xf numFmtId="0" fontId="11" fillId="0" borderId="5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52" fillId="0" borderId="9" xfId="2" applyFont="1" applyBorder="1" applyAlignment="1">
      <alignment horizontal="center" vertical="center" wrapText="1"/>
    </xf>
    <xf numFmtId="0" fontId="69" fillId="0" borderId="0" xfId="2" applyFont="1" applyBorder="1" applyAlignment="1">
      <alignment horizontal="center" vertical="center" wrapText="1"/>
    </xf>
    <xf numFmtId="0" fontId="61" fillId="0" borderId="0" xfId="2" applyFont="1" applyAlignment="1">
      <alignment horizontal="left" vertical="center" wrapText="1"/>
    </xf>
    <xf numFmtId="0" fontId="61" fillId="0" borderId="0" xfId="8" applyFont="1" applyAlignment="1">
      <alignment horizontal="center"/>
    </xf>
    <xf numFmtId="0" fontId="57" fillId="0" borderId="0" xfId="8" applyFont="1" applyAlignment="1">
      <alignment horizontal="center"/>
    </xf>
    <xf numFmtId="0" fontId="75" fillId="0" borderId="0" xfId="8" applyFont="1" applyAlignment="1">
      <alignment horizontal="center"/>
    </xf>
    <xf numFmtId="0" fontId="76" fillId="0" borderId="0" xfId="8" applyFont="1" applyAlignment="1">
      <alignment horizontal="center" vertical="center" wrapText="1"/>
    </xf>
    <xf numFmtId="0" fontId="61" fillId="0" borderId="7" xfId="8" applyFont="1" applyBorder="1" applyAlignment="1">
      <alignment horizontal="left"/>
    </xf>
    <xf numFmtId="0" fontId="77" fillId="0" borderId="7" xfId="8" applyFont="1" applyBorder="1" applyAlignment="1">
      <alignment horizontal="right"/>
    </xf>
    <xf numFmtId="0" fontId="69" fillId="0" borderId="0" xfId="8" applyFont="1"/>
    <xf numFmtId="0" fontId="52" fillId="0" borderId="2" xfId="8" applyFont="1" applyBorder="1" applyAlignment="1">
      <alignment horizontal="center" vertical="center" wrapText="1"/>
    </xf>
    <xf numFmtId="0" fontId="52" fillId="0" borderId="5" xfId="8" applyFont="1" applyBorder="1" applyAlignment="1">
      <alignment horizontal="center" vertical="center" wrapText="1"/>
    </xf>
    <xf numFmtId="0" fontId="52" fillId="0" borderId="9" xfId="8" applyFont="1" applyBorder="1" applyAlignment="1">
      <alignment horizontal="center" vertical="center" wrapText="1"/>
    </xf>
    <xf numFmtId="0" fontId="52" fillId="0" borderId="6" xfId="8" applyFont="1" applyBorder="1" applyAlignment="1">
      <alignment horizontal="center" vertical="center" wrapText="1"/>
    </xf>
    <xf numFmtId="0" fontId="69" fillId="0" borderId="0" xfId="8" applyFont="1" applyBorder="1" applyAlignment="1">
      <alignment horizontal="center" vertical="center" wrapText="1"/>
    </xf>
    <xf numFmtId="0" fontId="61" fillId="0" borderId="0" xfId="8" applyFont="1" applyAlignment="1">
      <alignment horizontal="left" vertical="center" wrapText="1"/>
    </xf>
    <xf numFmtId="0" fontId="11" fillId="2" borderId="0" xfId="8" applyFont="1" applyFill="1" applyAlignment="1">
      <alignment horizontal="center"/>
    </xf>
    <xf numFmtId="0" fontId="21" fillId="2" borderId="0" xfId="8" applyFont="1" applyFill="1" applyAlignment="1">
      <alignment horizontal="center"/>
    </xf>
    <xf numFmtId="0" fontId="20" fillId="2" borderId="0" xfId="8" applyFont="1" applyFill="1" applyAlignment="1">
      <alignment horizontal="center"/>
    </xf>
    <xf numFmtId="0" fontId="14" fillId="2" borderId="0" xfId="8" applyFont="1" applyFill="1" applyAlignment="1">
      <alignment horizontal="center" wrapText="1"/>
    </xf>
    <xf numFmtId="0" fontId="52" fillId="2" borderId="0" xfId="8" applyFont="1" applyFill="1" applyAlignment="1">
      <alignment horizontal="left" vertical="center" wrapText="1"/>
    </xf>
    <xf numFmtId="0" fontId="16" fillId="2" borderId="0" xfId="8" applyFont="1" applyFill="1"/>
    <xf numFmtId="0" fontId="52" fillId="2" borderId="2" xfId="8" applyFont="1" applyFill="1" applyBorder="1" applyAlignment="1">
      <alignment horizontal="center" vertical="center" wrapText="1"/>
    </xf>
    <xf numFmtId="0" fontId="69" fillId="2" borderId="0" xfId="8" applyFont="1" applyFill="1" applyBorder="1" applyAlignment="1">
      <alignment horizontal="center" vertical="center" wrapText="1"/>
    </xf>
    <xf numFmtId="0" fontId="61" fillId="2" borderId="0" xfId="8" applyFont="1" applyFill="1" applyAlignment="1">
      <alignment horizontal="left" vertical="center" wrapText="1"/>
    </xf>
    <xf numFmtId="0" fontId="23" fillId="2" borderId="0" xfId="2" applyFont="1" applyFill="1" applyAlignment="1">
      <alignment horizontal="left" wrapText="1"/>
    </xf>
    <xf numFmtId="0" fontId="21" fillId="2" borderId="0" xfId="2" applyFont="1" applyFill="1" applyAlignment="1">
      <alignment horizontal="center" wrapText="1"/>
    </xf>
    <xf numFmtId="0" fontId="20" fillId="2" borderId="0" xfId="2" applyFont="1" applyFill="1" applyAlignment="1">
      <alignment horizontal="center" wrapText="1"/>
    </xf>
    <xf numFmtId="0" fontId="11" fillId="2" borderId="0" xfId="2" applyFont="1" applyFill="1" applyAlignment="1">
      <alignment horizontal="left" wrapText="1"/>
    </xf>
    <xf numFmtId="0" fontId="11" fillId="2" borderId="0" xfId="2" applyFont="1" applyFill="1" applyBorder="1" applyAlignment="1">
      <alignment horizontal="right" wrapText="1"/>
    </xf>
    <xf numFmtId="0" fontId="16" fillId="2" borderId="0" xfId="11" applyFont="1" applyFill="1" applyAlignment="1">
      <alignment horizontal="center"/>
    </xf>
    <xf numFmtId="0" fontId="55" fillId="0" borderId="7" xfId="2" applyFont="1" applyBorder="1" applyAlignment="1">
      <alignment horizontal="left" vertical="center" wrapText="1"/>
    </xf>
    <xf numFmtId="0" fontId="26" fillId="2" borderId="7" xfId="2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top" wrapText="1"/>
    </xf>
    <xf numFmtId="0" fontId="11" fillId="2" borderId="9" xfId="2" applyFont="1" applyFill="1" applyBorder="1" applyAlignment="1">
      <alignment horizontal="center" vertical="top" wrapText="1"/>
    </xf>
    <xf numFmtId="0" fontId="11" fillId="2" borderId="2" xfId="2" applyFont="1" applyFill="1" applyBorder="1" applyAlignment="1">
      <alignment horizontal="center" vertical="top" wrapText="1"/>
    </xf>
    <xf numFmtId="0" fontId="23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 wrapText="1"/>
    </xf>
    <xf numFmtId="0" fontId="11" fillId="0" borderId="0" xfId="2" applyFont="1" applyBorder="1" applyAlignment="1">
      <alignment horizontal="right"/>
    </xf>
    <xf numFmtId="0" fontId="11" fillId="0" borderId="13" xfId="2" applyFont="1" applyBorder="1" applyAlignment="1">
      <alignment horizontal="left" vertical="center"/>
    </xf>
    <xf numFmtId="0" fontId="26" fillId="0" borderId="7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23" fillId="2" borderId="0" xfId="8" applyFont="1" applyFill="1" applyAlignment="1">
      <alignment horizontal="right"/>
    </xf>
    <xf numFmtId="0" fontId="15" fillId="2" borderId="0" xfId="11" applyFont="1" applyFill="1" applyAlignment="1">
      <alignment horizontal="center"/>
    </xf>
    <xf numFmtId="0" fontId="20" fillId="2" borderId="0" xfId="11" applyFont="1" applyFill="1" applyAlignment="1">
      <alignment horizontal="center"/>
    </xf>
    <xf numFmtId="0" fontId="17" fillId="2" borderId="0" xfId="11" applyFont="1" applyFill="1" applyBorder="1" applyAlignment="1">
      <alignment horizontal="left"/>
    </xf>
    <xf numFmtId="0" fontId="26" fillId="2" borderId="7" xfId="8" applyFont="1" applyFill="1" applyBorder="1" applyAlignment="1">
      <alignment horizontal="right"/>
    </xf>
    <xf numFmtId="0" fontId="69" fillId="2" borderId="0" xfId="11" applyFont="1" applyFill="1" applyAlignment="1">
      <alignment horizontal="center"/>
    </xf>
    <xf numFmtId="0" fontId="16" fillId="2" borderId="2" xfId="11" applyFont="1" applyFill="1" applyBorder="1" applyAlignment="1">
      <alignment horizontal="center" vertical="center" wrapText="1"/>
    </xf>
    <xf numFmtId="0" fontId="16" fillId="2" borderId="1" xfId="11" applyFont="1" applyFill="1" applyBorder="1" applyAlignment="1">
      <alignment horizontal="center" vertical="center" wrapText="1"/>
    </xf>
    <xf numFmtId="0" fontId="16" fillId="2" borderId="10" xfId="11" applyFont="1" applyFill="1" applyBorder="1" applyAlignment="1">
      <alignment horizontal="center" vertical="center" wrapText="1"/>
    </xf>
    <xf numFmtId="0" fontId="16" fillId="2" borderId="3" xfId="11" applyFont="1" applyFill="1" applyBorder="1" applyAlignment="1">
      <alignment horizontal="center" vertical="center" wrapText="1"/>
    </xf>
    <xf numFmtId="0" fontId="52" fillId="2" borderId="5" xfId="8" applyFont="1" applyFill="1" applyBorder="1" applyAlignment="1">
      <alignment horizontal="center" vertical="center" wrapText="1"/>
    </xf>
    <xf numFmtId="0" fontId="52" fillId="2" borderId="6" xfId="8" applyFont="1" applyFill="1" applyBorder="1" applyAlignment="1">
      <alignment horizontal="center" vertical="center" wrapText="1"/>
    </xf>
    <xf numFmtId="0" fontId="23" fillId="0" borderId="0" xfId="8" applyFont="1" applyAlignment="1">
      <alignment horizontal="left"/>
    </xf>
    <xf numFmtId="0" fontId="21" fillId="0" borderId="0" xfId="8" applyFont="1" applyAlignment="1">
      <alignment horizontal="center"/>
    </xf>
    <xf numFmtId="0" fontId="13" fillId="0" borderId="0" xfId="8" applyFont="1" applyAlignment="1">
      <alignment horizontal="center"/>
    </xf>
    <xf numFmtId="0" fontId="14" fillId="0" borderId="0" xfId="8" applyFont="1" applyAlignment="1">
      <alignment horizontal="center" wrapText="1"/>
    </xf>
    <xf numFmtId="0" fontId="52" fillId="0" borderId="0" xfId="8" applyFont="1" applyAlignment="1">
      <alignment horizontal="left" vertical="center"/>
    </xf>
    <xf numFmtId="0" fontId="52" fillId="0" borderId="0" xfId="8" applyFont="1" applyBorder="1" applyAlignment="1">
      <alignment horizontal="right" vertical="center"/>
    </xf>
    <xf numFmtId="0" fontId="52" fillId="0" borderId="5" xfId="8" applyFont="1" applyBorder="1" applyAlignment="1">
      <alignment horizontal="center" vertical="center"/>
    </xf>
    <xf numFmtId="0" fontId="52" fillId="0" borderId="6" xfId="8" applyFont="1" applyBorder="1" applyAlignment="1">
      <alignment horizontal="center" vertical="center"/>
    </xf>
    <xf numFmtId="0" fontId="51" fillId="0" borderId="0" xfId="8" applyFont="1" applyBorder="1" applyAlignment="1">
      <alignment horizontal="center" vertical="center" wrapText="1"/>
    </xf>
    <xf numFmtId="0" fontId="52" fillId="0" borderId="0" xfId="8" applyFont="1" applyAlignment="1">
      <alignment horizontal="left" vertical="center" wrapText="1"/>
    </xf>
    <xf numFmtId="0" fontId="56" fillId="0" borderId="7" xfId="8" applyFont="1" applyBorder="1" applyAlignment="1">
      <alignment horizontal="center" vertical="center"/>
    </xf>
    <xf numFmtId="0" fontId="87" fillId="0" borderId="12" xfId="8" applyFont="1" applyBorder="1" applyAlignment="1">
      <alignment horizontal="center" vertical="center" wrapText="1"/>
    </xf>
    <xf numFmtId="0" fontId="87" fillId="0" borderId="13" xfId="8" applyFont="1" applyBorder="1" applyAlignment="1">
      <alignment horizontal="center" vertical="center" wrapText="1"/>
    </xf>
    <xf numFmtId="0" fontId="87" fillId="0" borderId="14" xfId="8" applyFont="1" applyBorder="1" applyAlignment="1">
      <alignment horizontal="center" vertical="center" wrapText="1"/>
    </xf>
    <xf numFmtId="0" fontId="87" fillId="0" borderId="11" xfId="8" applyFont="1" applyBorder="1" applyAlignment="1">
      <alignment horizontal="center" vertical="center" wrapText="1"/>
    </xf>
    <xf numFmtId="0" fontId="87" fillId="0" borderId="0" xfId="8" applyFont="1" applyBorder="1" applyAlignment="1">
      <alignment horizontal="center" vertical="center" wrapText="1"/>
    </xf>
    <xf numFmtId="0" fontId="87" fillId="0" borderId="17" xfId="8" applyFont="1" applyBorder="1" applyAlignment="1">
      <alignment horizontal="center" vertical="center" wrapText="1"/>
    </xf>
    <xf numFmtId="0" fontId="87" fillId="0" borderId="8" xfId="8" applyFont="1" applyBorder="1" applyAlignment="1">
      <alignment horizontal="center" vertical="center" wrapText="1"/>
    </xf>
    <xf numFmtId="0" fontId="87" fillId="0" borderId="7" xfId="8" applyFont="1" applyBorder="1" applyAlignment="1">
      <alignment horizontal="center" vertical="center" wrapText="1"/>
    </xf>
    <xf numFmtId="0" fontId="87" fillId="0" borderId="15" xfId="8" applyFont="1" applyBorder="1" applyAlignment="1">
      <alignment horizontal="center" vertical="center" wrapText="1"/>
    </xf>
    <xf numFmtId="0" fontId="12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 wrapText="1"/>
    </xf>
    <xf numFmtId="0" fontId="11" fillId="0" borderId="6" xfId="8" applyFont="1" applyBorder="1" applyAlignment="1">
      <alignment horizontal="center" vertical="center" wrapText="1"/>
    </xf>
    <xf numFmtId="0" fontId="16" fillId="0" borderId="0" xfId="8" applyFont="1" applyBorder="1" applyAlignment="1">
      <alignment horizontal="center" vertical="top" wrapText="1"/>
    </xf>
    <xf numFmtId="0" fontId="16" fillId="0" borderId="13" xfId="8" applyFont="1" applyBorder="1" applyAlignment="1">
      <alignment horizontal="center" vertical="top" wrapText="1"/>
    </xf>
    <xf numFmtId="0" fontId="16" fillId="0" borderId="0" xfId="8" applyFont="1" applyAlignment="1">
      <alignment horizontal="center"/>
    </xf>
    <xf numFmtId="0" fontId="24" fillId="0" borderId="0" xfId="8" applyFont="1" applyAlignment="1">
      <alignment horizontal="left" vertical="top" wrapText="1"/>
    </xf>
    <xf numFmtId="0" fontId="11" fillId="0" borderId="2" xfId="8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0" borderId="0" xfId="8" applyFont="1" applyAlignment="1">
      <alignment horizontal="center"/>
    </xf>
    <xf numFmtId="0" fontId="61" fillId="2" borderId="0" xfId="8" applyFont="1" applyFill="1" applyAlignment="1">
      <alignment horizontal="left"/>
    </xf>
    <xf numFmtId="0" fontId="80" fillId="2" borderId="0" xfId="8" applyFont="1" applyFill="1" applyAlignment="1">
      <alignment horizontal="right"/>
    </xf>
    <xf numFmtId="0" fontId="57" fillId="2" borderId="0" xfId="8" applyFont="1" applyFill="1" applyAlignment="1">
      <alignment horizontal="center"/>
    </xf>
    <xf numFmtId="0" fontId="75" fillId="2" borderId="0" xfId="2" applyFont="1" applyFill="1" applyAlignment="1">
      <alignment horizontal="center"/>
    </xf>
    <xf numFmtId="0" fontId="55" fillId="2" borderId="0" xfId="8" applyFont="1" applyFill="1" applyAlignment="1">
      <alignment horizontal="left" vertical="center"/>
    </xf>
    <xf numFmtId="0" fontId="81" fillId="2" borderId="0" xfId="8" applyFont="1" applyFill="1" applyAlignment="1">
      <alignment horizontal="center"/>
    </xf>
    <xf numFmtId="0" fontId="51" fillId="2" borderId="2" xfId="8" applyFont="1" applyFill="1" applyBorder="1" applyAlignment="1">
      <alignment horizontal="center" vertical="center" wrapText="1"/>
    </xf>
    <xf numFmtId="0" fontId="52" fillId="2" borderId="1" xfId="8" applyFont="1" applyFill="1" applyBorder="1" applyAlignment="1">
      <alignment horizontal="center" vertical="center" textRotation="90" wrapText="1"/>
    </xf>
    <xf numFmtId="0" fontId="52" fillId="2" borderId="10" xfId="8" applyFont="1" applyFill="1" applyBorder="1" applyAlignment="1">
      <alignment horizontal="center" vertical="center" textRotation="90" wrapText="1"/>
    </xf>
    <xf numFmtId="0" fontId="52" fillId="2" borderId="3" xfId="8" applyFont="1" applyFill="1" applyBorder="1" applyAlignment="1">
      <alignment horizontal="center" vertical="center" textRotation="90" wrapText="1"/>
    </xf>
    <xf numFmtId="0" fontId="52" fillId="2" borderId="2" xfId="8" applyFont="1" applyFill="1" applyBorder="1" applyAlignment="1">
      <alignment horizontal="center" vertical="center"/>
    </xf>
    <xf numFmtId="0" fontId="51" fillId="2" borderId="0" xfId="8" applyFont="1" applyFill="1" applyBorder="1" applyAlignment="1">
      <alignment horizontal="center" vertical="center" wrapText="1"/>
    </xf>
    <xf numFmtId="0" fontId="80" fillId="0" borderId="0" xfId="8" applyFont="1" applyAlignment="1">
      <alignment horizontal="right"/>
    </xf>
    <xf numFmtId="0" fontId="75" fillId="0" borderId="0" xfId="2" applyFont="1" applyAlignment="1">
      <alignment horizontal="center"/>
    </xf>
    <xf numFmtId="0" fontId="75" fillId="0" borderId="0" xfId="8" applyFont="1" applyAlignment="1">
      <alignment horizontal="left" vertical="center"/>
    </xf>
    <xf numFmtId="0" fontId="76" fillId="0" borderId="0" xfId="8" applyFont="1" applyAlignment="1">
      <alignment horizontal="center"/>
    </xf>
    <xf numFmtId="0" fontId="61" fillId="0" borderId="7" xfId="8" applyFont="1" applyBorder="1" applyAlignment="1">
      <alignment horizontal="center" vertical="center"/>
    </xf>
    <xf numFmtId="0" fontId="69" fillId="0" borderId="1" xfId="8" applyFont="1" applyBorder="1" applyAlignment="1">
      <alignment horizontal="center" vertical="center" wrapText="1"/>
    </xf>
    <xf numFmtId="0" fontId="69" fillId="0" borderId="3" xfId="8" applyFont="1" applyBorder="1" applyAlignment="1">
      <alignment horizontal="center" vertical="center" wrapText="1"/>
    </xf>
    <xf numFmtId="0" fontId="69" fillId="2" borderId="1" xfId="8" applyFont="1" applyFill="1" applyBorder="1" applyAlignment="1">
      <alignment horizontal="center" vertical="center" wrapText="1"/>
    </xf>
    <xf numFmtId="0" fontId="69" fillId="2" borderId="3" xfId="8" applyFont="1" applyFill="1" applyBorder="1" applyAlignment="1">
      <alignment horizontal="center" vertical="center" wrapText="1"/>
    </xf>
    <xf numFmtId="0" fontId="69" fillId="0" borderId="2" xfId="8" applyFont="1" applyBorder="1" applyAlignment="1">
      <alignment horizontal="center" vertical="center" wrapText="1"/>
    </xf>
    <xf numFmtId="0" fontId="69" fillId="0" borderId="5" xfId="8" applyFont="1" applyBorder="1" applyAlignment="1">
      <alignment horizontal="center" vertical="center" wrapText="1"/>
    </xf>
    <xf numFmtId="0" fontId="69" fillId="0" borderId="9" xfId="8" applyFont="1" applyBorder="1" applyAlignment="1">
      <alignment horizontal="center" vertical="center" wrapText="1"/>
    </xf>
    <xf numFmtId="0" fontId="69" fillId="0" borderId="6" xfId="8" applyFont="1" applyBorder="1" applyAlignment="1">
      <alignment horizontal="center" vertical="center" wrapText="1"/>
    </xf>
    <xf numFmtId="0" fontId="69" fillId="0" borderId="12" xfId="8" applyFont="1" applyBorder="1" applyAlignment="1">
      <alignment horizontal="center" vertical="center" wrapText="1"/>
    </xf>
    <xf numFmtId="0" fontId="69" fillId="0" borderId="13" xfId="8" applyFont="1" applyBorder="1" applyAlignment="1">
      <alignment horizontal="center" vertical="center" wrapText="1"/>
    </xf>
    <xf numFmtId="0" fontId="69" fillId="0" borderId="14" xfId="8" applyFont="1" applyBorder="1" applyAlignment="1">
      <alignment horizontal="center" vertical="center" wrapText="1"/>
    </xf>
    <xf numFmtId="0" fontId="52" fillId="0" borderId="1" xfId="8" applyFont="1" applyBorder="1" applyAlignment="1">
      <alignment horizontal="center" vertical="center" textRotation="90" wrapText="1"/>
    </xf>
    <xf numFmtId="0" fontId="52" fillId="0" borderId="10" xfId="8" applyFont="1" applyBorder="1" applyAlignment="1">
      <alignment horizontal="center" vertical="center" textRotation="90" wrapText="1"/>
    </xf>
    <xf numFmtId="0" fontId="52" fillId="0" borderId="3" xfId="8" applyFont="1" applyBorder="1" applyAlignment="1">
      <alignment horizontal="center" vertical="center" textRotation="90" wrapText="1"/>
    </xf>
    <xf numFmtId="0" fontId="52" fillId="0" borderId="0" xfId="8" applyFont="1" applyAlignment="1">
      <alignment horizontal="center" vertical="center"/>
    </xf>
    <xf numFmtId="0" fontId="54" fillId="0" borderId="0" xfId="8" applyFont="1" applyAlignment="1">
      <alignment horizontal="center" vertical="center" wrapText="1"/>
    </xf>
    <xf numFmtId="0" fontId="56" fillId="0" borderId="7" xfId="8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52" fillId="0" borderId="0" xfId="8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55" fillId="0" borderId="5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61" fillId="0" borderId="2" xfId="0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9" fillId="0" borderId="0" xfId="0" applyFont="1" applyBorder="1" applyAlignment="1">
      <alignment horizontal="center" vertical="top"/>
    </xf>
    <xf numFmtId="0" fontId="56" fillId="0" borderId="7" xfId="0" applyFont="1" applyBorder="1" applyAlignment="1">
      <alignment horizontal="right"/>
    </xf>
    <xf numFmtId="0" fontId="91" fillId="0" borderId="2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52" fillId="0" borderId="2" xfId="8" applyFont="1" applyBorder="1" applyAlignment="1">
      <alignment horizontal="center" vertical="center"/>
    </xf>
    <xf numFmtId="0" fontId="52" fillId="0" borderId="0" xfId="8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1" fillId="0" borderId="0" xfId="0" applyFont="1" applyBorder="1" applyAlignment="1">
      <alignment vertical="center" wrapText="1"/>
    </xf>
    <xf numFmtId="0" fontId="52" fillId="0" borderId="0" xfId="0" applyFont="1" applyAlignment="1">
      <alignment horizontal="left" vertical="top" wrapText="1"/>
    </xf>
    <xf numFmtId="0" fontId="56" fillId="0" borderId="7" xfId="0" applyFont="1" applyBorder="1" applyAlignment="1">
      <alignment horizontal="left"/>
    </xf>
    <xf numFmtId="0" fontId="52" fillId="2" borderId="1" xfId="12" quotePrefix="1" applyFont="1" applyFill="1" applyBorder="1" applyAlignment="1">
      <alignment horizontal="center" vertical="center" wrapText="1"/>
    </xf>
    <xf numFmtId="0" fontId="52" fillId="2" borderId="3" xfId="12" quotePrefix="1" applyFont="1" applyFill="1" applyBorder="1" applyAlignment="1">
      <alignment horizontal="center" vertical="center" wrapText="1"/>
    </xf>
    <xf numFmtId="0" fontId="52" fillId="2" borderId="5" xfId="12" quotePrefix="1" applyFont="1" applyFill="1" applyBorder="1" applyAlignment="1">
      <alignment horizontal="center" vertical="center" wrapText="1"/>
    </xf>
    <xf numFmtId="0" fontId="52" fillId="2" borderId="9" xfId="12" quotePrefix="1" applyFont="1" applyFill="1" applyBorder="1" applyAlignment="1">
      <alignment horizontal="center" vertical="center" wrapText="1"/>
    </xf>
    <xf numFmtId="0" fontId="52" fillId="2" borderId="6" xfId="12" quotePrefix="1" applyFont="1" applyFill="1" applyBorder="1" applyAlignment="1">
      <alignment horizontal="center" vertical="center" wrapText="1"/>
    </xf>
    <xf numFmtId="0" fontId="52" fillId="0" borderId="0" xfId="12" applyFont="1" applyAlignment="1">
      <alignment horizontal="center"/>
    </xf>
    <xf numFmtId="0" fontId="54" fillId="0" borderId="0" xfId="12" applyFont="1" applyAlignment="1">
      <alignment horizontal="center"/>
    </xf>
    <xf numFmtId="0" fontId="52" fillId="0" borderId="0" xfId="12" applyFont="1" applyAlignment="1">
      <alignment horizontal="center" vertical="top" wrapText="1"/>
    </xf>
    <xf numFmtId="0" fontId="52" fillId="0" borderId="7" xfId="8" applyFont="1" applyBorder="1" applyAlignment="1">
      <alignment horizontal="left" vertical="center" wrapText="1"/>
    </xf>
    <xf numFmtId="0" fontId="26" fillId="0" borderId="7" xfId="8" applyFont="1" applyBorder="1" applyAlignment="1">
      <alignment horizontal="right"/>
    </xf>
    <xf numFmtId="0" fontId="42" fillId="0" borderId="7" xfId="8" applyFont="1" applyBorder="1" applyAlignment="1">
      <alignment horizontal="left"/>
    </xf>
    <xf numFmtId="0" fontId="47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52" fillId="0" borderId="2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3" xfId="0" applyFont="1" applyBorder="1" applyAlignment="1">
      <alignment horizontal="center" vertical="center" wrapText="1"/>
    </xf>
    <xf numFmtId="0" fontId="95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2" borderId="5" xfId="0" applyFont="1" applyFill="1" applyBorder="1" applyAlignment="1">
      <alignment horizontal="center" vertical="center"/>
    </xf>
    <xf numFmtId="0" fontId="61" fillId="2" borderId="9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55" fillId="2" borderId="0" xfId="0" applyFont="1" applyFill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2" fillId="0" borderId="5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52" fillId="2" borderId="0" xfId="0" applyFont="1" applyFill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right" vertical="center"/>
    </xf>
    <xf numFmtId="0" fontId="46" fillId="2" borderId="5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0" fillId="0" borderId="2" xfId="8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0" fillId="0" borderId="5" xfId="8" applyFont="1" applyBorder="1" applyAlignment="1">
      <alignment horizontal="center" vertical="center" wrapText="1"/>
    </xf>
    <xf numFmtId="0" fontId="60" fillId="0" borderId="9" xfId="8" applyFont="1" applyBorder="1" applyAlignment="1">
      <alignment horizontal="center" vertical="center" wrapText="1"/>
    </xf>
    <xf numFmtId="0" fontId="60" fillId="0" borderId="6" xfId="8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72" fillId="0" borderId="5" xfId="2" applyFont="1" applyBorder="1" applyAlignment="1">
      <alignment horizontal="center" vertical="center"/>
    </xf>
    <xf numFmtId="0" fontId="72" fillId="0" borderId="6" xfId="2" applyFont="1" applyBorder="1" applyAlignment="1">
      <alignment horizontal="center" vertical="center"/>
    </xf>
    <xf numFmtId="0" fontId="61" fillId="0" borderId="2" xfId="2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61" fillId="0" borderId="2" xfId="2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6" fillId="0" borderId="7" xfId="0" applyFont="1" applyBorder="1" applyAlignment="1">
      <alignment horizontal="left"/>
    </xf>
    <xf numFmtId="0" fontId="42" fillId="0" borderId="5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61" fillId="0" borderId="0" xfId="1" applyFont="1" applyAlignment="1">
      <alignment horizontal="center"/>
    </xf>
    <xf numFmtId="0" fontId="52" fillId="0" borderId="0" xfId="1" applyFont="1" applyAlignment="1">
      <alignment horizontal="center"/>
    </xf>
    <xf numFmtId="0" fontId="77" fillId="0" borderId="7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61" fillId="2" borderId="1" xfId="1" quotePrefix="1" applyFont="1" applyFill="1" applyBorder="1" applyAlignment="1">
      <alignment horizontal="center" vertical="center" wrapText="1"/>
    </xf>
    <xf numFmtId="0" fontId="61" fillId="2" borderId="3" xfId="1" quotePrefix="1" applyFont="1" applyFill="1" applyBorder="1" applyAlignment="1">
      <alignment horizontal="center" vertical="center" wrapText="1"/>
    </xf>
    <xf numFmtId="0" fontId="61" fillId="2" borderId="2" xfId="1" quotePrefix="1" applyFont="1" applyFill="1" applyBorder="1" applyAlignment="1">
      <alignment horizontal="center" vertical="center" wrapText="1"/>
    </xf>
    <xf numFmtId="0" fontId="51" fillId="0" borderId="0" xfId="8" applyFont="1" applyBorder="1" applyAlignment="1">
      <alignment horizontal="left" vertical="center" wrapText="1"/>
    </xf>
    <xf numFmtId="0" fontId="56" fillId="0" borderId="0" xfId="1" applyFont="1" applyAlignment="1">
      <alignment horizontal="right"/>
    </xf>
    <xf numFmtId="0" fontId="56" fillId="0" borderId="0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2" borderId="1" xfId="1" quotePrefix="1" applyFont="1" applyFill="1" applyBorder="1" applyAlignment="1">
      <alignment horizontal="center" vertical="center" wrapText="1"/>
    </xf>
    <xf numFmtId="0" fontId="52" fillId="2" borderId="3" xfId="1" quotePrefix="1" applyFont="1" applyFill="1" applyBorder="1" applyAlignment="1">
      <alignment horizontal="center" vertical="center" wrapText="1"/>
    </xf>
    <xf numFmtId="0" fontId="52" fillId="2" borderId="2" xfId="1" quotePrefix="1" applyFont="1" applyFill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77" fillId="0" borderId="7" xfId="0" applyFont="1" applyBorder="1" applyAlignment="1">
      <alignment horizontal="right"/>
    </xf>
    <xf numFmtId="0" fontId="90" fillId="0" borderId="0" xfId="0" applyFont="1" applyBorder="1" applyAlignment="1">
      <alignment horizontal="center" vertical="top"/>
    </xf>
    <xf numFmtId="0" fontId="61" fillId="0" borderId="7" xfId="0" applyFont="1" applyBorder="1" applyAlignment="1">
      <alignment horizontal="left"/>
    </xf>
    <xf numFmtId="0" fontId="91" fillId="0" borderId="1" xfId="0" applyFont="1" applyBorder="1" applyAlignment="1">
      <alignment horizontal="center" vertical="center" textRotation="90" wrapText="1"/>
    </xf>
    <xf numFmtId="0" fontId="91" fillId="0" borderId="10" xfId="0" applyFont="1" applyBorder="1" applyAlignment="1">
      <alignment horizontal="center" vertical="center" textRotation="90" wrapText="1"/>
    </xf>
    <xf numFmtId="0" fontId="91" fillId="0" borderId="3" xfId="0" applyFont="1" applyBorder="1" applyAlignment="1">
      <alignment horizontal="center" vertical="center" textRotation="90" wrapText="1"/>
    </xf>
    <xf numFmtId="0" fontId="91" fillId="0" borderId="12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86" fillId="0" borderId="2" xfId="8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99" fillId="0" borderId="5" xfId="0" applyFont="1" applyBorder="1" applyAlignment="1">
      <alignment horizontal="center" vertical="center" wrapText="1"/>
    </xf>
    <xf numFmtId="0" fontId="99" fillId="0" borderId="6" xfId="0" applyFont="1" applyBorder="1" applyAlignment="1">
      <alignment horizontal="center" vertical="center" wrapText="1"/>
    </xf>
    <xf numFmtId="0" fontId="100" fillId="0" borderId="5" xfId="0" applyFont="1" applyBorder="1" applyAlignment="1">
      <alignment horizontal="left" vertical="center" wrapText="1"/>
    </xf>
    <xf numFmtId="0" fontId="100" fillId="0" borderId="6" xfId="0" applyFont="1" applyBorder="1" applyAlignment="1">
      <alignment horizontal="left" vertical="center" wrapText="1"/>
    </xf>
    <xf numFmtId="0" fontId="1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72" fillId="2" borderId="2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5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2" fontId="72" fillId="2" borderId="12" xfId="0" applyNumberFormat="1" applyFont="1" applyFill="1" applyBorder="1" applyAlignment="1">
      <alignment horizontal="center" vertical="center"/>
    </xf>
    <xf numFmtId="2" fontId="72" fillId="2" borderId="13" xfId="0" applyNumberFormat="1" applyFont="1" applyFill="1" applyBorder="1" applyAlignment="1">
      <alignment horizontal="center" vertical="center"/>
    </xf>
    <xf numFmtId="2" fontId="72" fillId="2" borderId="14" xfId="0" applyNumberFormat="1" applyFont="1" applyFill="1" applyBorder="1" applyAlignment="1">
      <alignment horizontal="center" vertical="center"/>
    </xf>
    <xf numFmtId="2" fontId="72" fillId="2" borderId="11" xfId="0" applyNumberFormat="1" applyFont="1" applyFill="1" applyBorder="1" applyAlignment="1">
      <alignment horizontal="center" vertical="center"/>
    </xf>
    <xf numFmtId="2" fontId="72" fillId="2" borderId="0" xfId="0" applyNumberFormat="1" applyFont="1" applyFill="1" applyBorder="1" applyAlignment="1">
      <alignment horizontal="center" vertical="center"/>
    </xf>
    <xf numFmtId="2" fontId="72" fillId="2" borderId="17" xfId="0" applyNumberFormat="1" applyFont="1" applyFill="1" applyBorder="1" applyAlignment="1">
      <alignment horizontal="center" vertical="center"/>
    </xf>
    <xf numFmtId="2" fontId="72" fillId="2" borderId="8" xfId="0" applyNumberFormat="1" applyFont="1" applyFill="1" applyBorder="1" applyAlignment="1">
      <alignment horizontal="center" vertical="center"/>
    </xf>
    <xf numFmtId="2" fontId="72" fillId="2" borderId="7" xfId="0" applyNumberFormat="1" applyFont="1" applyFill="1" applyBorder="1" applyAlignment="1">
      <alignment horizontal="center" vertical="center"/>
    </xf>
    <xf numFmtId="2" fontId="72" fillId="2" borderId="15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8" applyFont="1" applyFill="1" applyAlignment="1">
      <alignment horizontal="center"/>
    </xf>
    <xf numFmtId="0" fontId="12" fillId="2" borderId="0" xfId="8" applyFont="1" applyFill="1" applyAlignment="1">
      <alignment horizontal="right"/>
    </xf>
    <xf numFmtId="0" fontId="15" fillId="2" borderId="0" xfId="8" applyFont="1" applyFill="1" applyAlignment="1">
      <alignment horizontal="center"/>
    </xf>
    <xf numFmtId="0" fontId="13" fillId="2" borderId="0" xfId="8" applyFont="1" applyFill="1" applyAlignment="1">
      <alignment horizontal="center"/>
    </xf>
    <xf numFmtId="0" fontId="17" fillId="2" borderId="0" xfId="8" applyFont="1" applyFill="1" applyAlignment="1">
      <alignment horizontal="center" wrapText="1"/>
    </xf>
    <xf numFmtId="0" fontId="16" fillId="3" borderId="0" xfId="8" applyFont="1" applyFill="1" applyAlignment="1">
      <alignment horizontal="center"/>
    </xf>
    <xf numFmtId="0" fontId="11" fillId="2" borderId="0" xfId="8" applyFont="1" applyFill="1" applyAlignment="1">
      <alignment horizontal="left"/>
    </xf>
    <xf numFmtId="0" fontId="11" fillId="2" borderId="0" xfId="8" applyFont="1" applyFill="1" applyBorder="1" applyAlignment="1">
      <alignment horizontal="right"/>
    </xf>
    <xf numFmtId="0" fontId="11" fillId="2" borderId="2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12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9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5" fillId="2" borderId="2" xfId="8" applyFont="1" applyFill="1" applyBorder="1" applyAlignment="1">
      <alignment horizontal="center" vertical="center"/>
    </xf>
    <xf numFmtId="0" fontId="11" fillId="2" borderId="13" xfId="8" applyFont="1" applyFill="1" applyBorder="1" applyAlignment="1">
      <alignment horizontal="left"/>
    </xf>
    <xf numFmtId="0" fontId="118" fillId="2" borderId="0" xfId="8" applyFont="1" applyFill="1" applyAlignment="1">
      <alignment horizontal="center" vertical="center" wrapText="1"/>
    </xf>
    <xf numFmtId="0" fontId="11" fillId="2" borderId="7" xfId="8" applyFont="1" applyFill="1" applyBorder="1" applyAlignment="1">
      <alignment horizontal="left" vertical="center"/>
    </xf>
    <xf numFmtId="0" fontId="31" fillId="2" borderId="5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4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31" fillId="2" borderId="6" xfId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/>
    </xf>
    <xf numFmtId="0" fontId="31" fillId="2" borderId="1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10" fillId="2" borderId="12" xfId="1" applyFont="1" applyFill="1" applyBorder="1" applyAlignment="1">
      <alignment horizontal="center" vertical="center" wrapText="1"/>
    </xf>
    <xf numFmtId="0" fontId="110" fillId="2" borderId="13" xfId="1" applyFont="1" applyFill="1" applyBorder="1" applyAlignment="1">
      <alignment horizontal="center" vertical="center" wrapText="1"/>
    </xf>
    <xf numFmtId="0" fontId="110" fillId="2" borderId="14" xfId="1" applyFont="1" applyFill="1" applyBorder="1" applyAlignment="1">
      <alignment horizontal="center" vertical="center" wrapText="1"/>
    </xf>
    <xf numFmtId="0" fontId="110" fillId="2" borderId="11" xfId="1" applyFont="1" applyFill="1" applyBorder="1" applyAlignment="1">
      <alignment horizontal="center" vertical="center" wrapText="1"/>
    </xf>
    <xf numFmtId="0" fontId="110" fillId="2" borderId="0" xfId="1" applyFont="1" applyFill="1" applyBorder="1" applyAlignment="1">
      <alignment horizontal="center" vertical="center" wrapText="1"/>
    </xf>
    <xf numFmtId="0" fontId="110" fillId="2" borderId="17" xfId="1" applyFont="1" applyFill="1" applyBorder="1" applyAlignment="1">
      <alignment horizontal="center" vertical="center" wrapText="1"/>
    </xf>
    <xf numFmtId="0" fontId="64" fillId="2" borderId="2" xfId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09" fillId="2" borderId="2" xfId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 wrapText="1"/>
    </xf>
    <xf numFmtId="0" fontId="111" fillId="0" borderId="1" xfId="1" applyFont="1" applyBorder="1" applyAlignment="1">
      <alignment horizontal="center" vertical="center" wrapText="1"/>
    </xf>
    <xf numFmtId="0" fontId="111" fillId="0" borderId="3" xfId="1" applyFont="1" applyBorder="1" applyAlignment="1">
      <alignment horizontal="center" vertical="center" wrapText="1"/>
    </xf>
    <xf numFmtId="0" fontId="61" fillId="2" borderId="2" xfId="2" applyFont="1" applyFill="1" applyBorder="1" applyAlignment="1">
      <alignment horizontal="center" vertical="center"/>
    </xf>
    <xf numFmtId="0" fontId="31" fillId="0" borderId="5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left" vertical="center" wrapText="1"/>
    </xf>
    <xf numFmtId="0" fontId="11" fillId="2" borderId="6" xfId="3" applyFont="1" applyFill="1" applyBorder="1" applyAlignment="1">
      <alignment horizontal="left" vertical="center" wrapText="1"/>
    </xf>
    <xf numFmtId="0" fontId="26" fillId="2" borderId="5" xfId="3" applyFont="1" applyFill="1" applyBorder="1" applyAlignment="1">
      <alignment horizontal="center" vertical="top" wrapText="1"/>
    </xf>
    <xf numFmtId="0" fontId="26" fillId="2" borderId="9" xfId="3" applyFont="1" applyFill="1" applyBorder="1" applyAlignment="1">
      <alignment horizontal="center" vertical="top" wrapText="1"/>
    </xf>
    <xf numFmtId="0" fontId="26" fillId="2" borderId="6" xfId="3" applyFont="1" applyFill="1" applyBorder="1" applyAlignment="1">
      <alignment horizontal="center" vertical="top" wrapText="1"/>
    </xf>
    <xf numFmtId="0" fontId="12" fillId="2" borderId="0" xfId="3" applyFont="1" applyFill="1" applyAlignment="1">
      <alignment horizontal="right"/>
    </xf>
    <xf numFmtId="0" fontId="13" fillId="2" borderId="0" xfId="3" applyFont="1" applyFill="1" applyAlignment="1">
      <alignment horizontal="center"/>
    </xf>
    <xf numFmtId="0" fontId="14" fillId="2" borderId="0" xfId="3" applyFont="1" applyFill="1" applyAlignment="1">
      <alignment horizontal="center"/>
    </xf>
    <xf numFmtId="0" fontId="11" fillId="2" borderId="0" xfId="3" applyFont="1" applyFill="1" applyAlignment="1">
      <alignment horizontal="left"/>
    </xf>
    <xf numFmtId="0" fontId="26" fillId="2" borderId="7" xfId="3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top" wrapText="1"/>
    </xf>
    <xf numFmtId="0" fontId="26" fillId="2" borderId="3" xfId="3" applyFont="1" applyFill="1" applyBorder="1" applyAlignment="1">
      <alignment horizontal="center" vertical="top" wrapText="1"/>
    </xf>
    <xf numFmtId="0" fontId="26" fillId="2" borderId="5" xfId="3" applyFont="1" applyFill="1" applyBorder="1" applyAlignment="1">
      <alignment horizontal="center" vertical="top"/>
    </xf>
    <xf numFmtId="0" fontId="26" fillId="2" borderId="9" xfId="3" applyFont="1" applyFill="1" applyBorder="1" applyAlignment="1">
      <alignment horizontal="center" vertical="top"/>
    </xf>
    <xf numFmtId="0" fontId="26" fillId="2" borderId="6" xfId="3" applyFont="1" applyFill="1" applyBorder="1" applyAlignment="1">
      <alignment horizontal="center" vertical="top"/>
    </xf>
    <xf numFmtId="0" fontId="26" fillId="2" borderId="12" xfId="3" applyFont="1" applyFill="1" applyBorder="1" applyAlignment="1">
      <alignment horizontal="center" vertical="top" wrapText="1"/>
    </xf>
    <xf numFmtId="0" fontId="26" fillId="2" borderId="13" xfId="3" applyFont="1" applyFill="1" applyBorder="1" applyAlignment="1">
      <alignment horizontal="center" vertical="top" wrapText="1"/>
    </xf>
    <xf numFmtId="0" fontId="26" fillId="2" borderId="14" xfId="3" applyFont="1" applyFill="1" applyBorder="1" applyAlignment="1">
      <alignment horizontal="center" vertical="top" wrapText="1"/>
    </xf>
    <xf numFmtId="0" fontId="26" fillId="2" borderId="8" xfId="3" applyFont="1" applyFill="1" applyBorder="1" applyAlignment="1">
      <alignment horizontal="center" vertical="top" wrapText="1"/>
    </xf>
    <xf numFmtId="0" fontId="26" fillId="2" borderId="7" xfId="3" applyFont="1" applyFill="1" applyBorder="1" applyAlignment="1">
      <alignment horizontal="center" vertical="top" wrapText="1"/>
    </xf>
    <xf numFmtId="0" fontId="26" fillId="2" borderId="15" xfId="3" applyFont="1" applyFill="1" applyBorder="1" applyAlignment="1">
      <alignment horizontal="center" vertical="top" wrapText="1"/>
    </xf>
    <xf numFmtId="0" fontId="11" fillId="0" borderId="0" xfId="2" applyFont="1" applyAlignment="1">
      <alignment horizontal="center"/>
    </xf>
    <xf numFmtId="0" fontId="11" fillId="0" borderId="7" xfId="2" applyFont="1" applyBorder="1" applyAlignment="1">
      <alignment horizontal="left"/>
    </xf>
    <xf numFmtId="0" fontId="11" fillId="0" borderId="7" xfId="2" applyFont="1" applyBorder="1" applyAlignment="1">
      <alignment horizontal="right"/>
    </xf>
    <xf numFmtId="0" fontId="16" fillId="0" borderId="0" xfId="2" applyFont="1"/>
    <xf numFmtId="0" fontId="11" fillId="0" borderId="2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wrapText="1"/>
    </xf>
    <xf numFmtId="0" fontId="11" fillId="0" borderId="6" xfId="2" applyFont="1" applyBorder="1" applyAlignment="1">
      <alignment horizontal="center" wrapText="1"/>
    </xf>
    <xf numFmtId="0" fontId="11" fillId="0" borderId="0" xfId="2" applyFont="1" applyAlignment="1">
      <alignment horizontal="left"/>
    </xf>
    <xf numFmtId="0" fontId="11" fillId="0" borderId="6" xfId="2" applyFont="1" applyBorder="1" applyAlignment="1">
      <alignment horizontal="center" vertical="center" wrapText="1"/>
    </xf>
    <xf numFmtId="0" fontId="55" fillId="0" borderId="5" xfId="8" applyFont="1" applyBorder="1" applyAlignment="1">
      <alignment horizontal="center" vertical="center"/>
    </xf>
    <xf numFmtId="0" fontId="55" fillId="0" borderId="6" xfId="8" applyFont="1" applyBorder="1" applyAlignment="1">
      <alignment horizontal="center" vertical="center"/>
    </xf>
    <xf numFmtId="0" fontId="28" fillId="2" borderId="0" xfId="19" applyFont="1" applyFill="1"/>
    <xf numFmtId="0" fontId="28" fillId="2" borderId="0" xfId="19" applyFont="1" applyFill="1" applyAlignment="1">
      <alignment horizontal="center"/>
    </xf>
    <xf numFmtId="0" fontId="32" fillId="2" borderId="0" xfId="19" applyFont="1" applyFill="1" applyAlignment="1">
      <alignment horizontal="center"/>
    </xf>
    <xf numFmtId="0" fontId="28" fillId="2" borderId="1" xfId="19" applyFont="1" applyFill="1" applyBorder="1" applyAlignment="1">
      <alignment horizontal="center" vertical="center"/>
    </xf>
    <xf numFmtId="0" fontId="31" fillId="2" borderId="1" xfId="19" applyFont="1" applyFill="1" applyBorder="1" applyAlignment="1">
      <alignment horizontal="center" vertical="center" wrapText="1"/>
    </xf>
    <xf numFmtId="0" fontId="29" fillId="2" borderId="2" xfId="19" applyFont="1" applyFill="1" applyBorder="1" applyAlignment="1">
      <alignment horizontal="center" vertical="center" wrapText="1"/>
    </xf>
    <xf numFmtId="0" fontId="31" fillId="2" borderId="2" xfId="19" applyFont="1" applyFill="1" applyBorder="1" applyAlignment="1">
      <alignment horizontal="center" vertical="center" wrapText="1"/>
    </xf>
    <xf numFmtId="0" fontId="28" fillId="2" borderId="10" xfId="19" applyFont="1" applyFill="1" applyBorder="1" applyAlignment="1">
      <alignment horizontal="center" vertical="center"/>
    </xf>
    <xf numFmtId="0" fontId="31" fillId="2" borderId="10" xfId="19" applyFont="1" applyFill="1" applyBorder="1" applyAlignment="1">
      <alignment horizontal="center" vertical="center" wrapText="1"/>
    </xf>
    <xf numFmtId="0" fontId="31" fillId="2" borderId="12" xfId="19" applyFont="1" applyFill="1" applyBorder="1" applyAlignment="1">
      <alignment horizontal="center" vertical="center" wrapText="1"/>
    </xf>
    <xf numFmtId="0" fontId="31" fillId="2" borderId="14" xfId="19" applyFont="1" applyFill="1" applyBorder="1" applyAlignment="1">
      <alignment horizontal="center" vertical="center" wrapText="1"/>
    </xf>
    <xf numFmtId="0" fontId="28" fillId="2" borderId="3" xfId="19" applyFont="1" applyFill="1" applyBorder="1" applyAlignment="1">
      <alignment horizontal="center" vertical="center"/>
    </xf>
    <xf numFmtId="0" fontId="31" fillId="2" borderId="3" xfId="19" applyFont="1" applyFill="1" applyBorder="1" applyAlignment="1">
      <alignment horizontal="center" vertical="center" wrapText="1"/>
    </xf>
    <xf numFmtId="0" fontId="31" fillId="2" borderId="2" xfId="19" applyFont="1" applyFill="1" applyBorder="1" applyAlignment="1">
      <alignment horizontal="center" vertical="center" wrapText="1"/>
    </xf>
    <xf numFmtId="0" fontId="35" fillId="2" borderId="1" xfId="19" applyFont="1" applyFill="1" applyBorder="1" applyAlignment="1">
      <alignment horizontal="center"/>
    </xf>
    <xf numFmtId="0" fontId="35" fillId="2" borderId="10" xfId="19" applyFont="1" applyFill="1" applyBorder="1" applyAlignment="1">
      <alignment horizontal="center" wrapText="1"/>
    </xf>
    <xf numFmtId="0" fontId="35" fillId="2" borderId="2" xfId="19" applyFont="1" applyFill="1" applyBorder="1" applyAlignment="1">
      <alignment horizontal="center"/>
    </xf>
    <xf numFmtId="0" fontId="35" fillId="2" borderId="2" xfId="19" applyFont="1" applyFill="1" applyBorder="1" applyAlignment="1">
      <alignment horizontal="center" wrapText="1"/>
    </xf>
    <xf numFmtId="0" fontId="104" fillId="2" borderId="2" xfId="19" applyFont="1" applyFill="1" applyBorder="1" applyAlignment="1">
      <alignment horizontal="center"/>
    </xf>
    <xf numFmtId="0" fontId="57" fillId="2" borderId="2" xfId="8" applyFont="1" applyFill="1" applyBorder="1" applyAlignment="1">
      <alignment horizontal="center" vertical="center"/>
    </xf>
    <xf numFmtId="0" fontId="69" fillId="2" borderId="2" xfId="8" applyFont="1" applyFill="1" applyBorder="1" applyAlignment="1">
      <alignment horizontal="left" vertical="center"/>
    </xf>
    <xf numFmtId="1" fontId="51" fillId="2" borderId="2" xfId="8" applyNumberFormat="1" applyFont="1" applyFill="1" applyBorder="1" applyAlignment="1">
      <alignment horizontal="center" vertical="center"/>
    </xf>
    <xf numFmtId="0" fontId="69" fillId="2" borderId="2" xfId="8" applyFont="1" applyFill="1" applyBorder="1" applyAlignment="1">
      <alignment horizontal="center" vertical="center"/>
    </xf>
    <xf numFmtId="0" fontId="52" fillId="2" borderId="5" xfId="8" applyFont="1" applyFill="1" applyBorder="1" applyAlignment="1">
      <alignment horizontal="center" vertical="center"/>
    </xf>
    <xf numFmtId="0" fontId="52" fillId="2" borderId="6" xfId="8" applyFont="1" applyFill="1" applyBorder="1" applyAlignment="1">
      <alignment horizontal="center" vertical="center"/>
    </xf>
    <xf numFmtId="1" fontId="52" fillId="2" borderId="2" xfId="8" applyNumberFormat="1" applyFont="1" applyFill="1" applyBorder="1" applyAlignment="1">
      <alignment horizontal="center" vertical="center" wrapText="1"/>
    </xf>
    <xf numFmtId="0" fontId="52" fillId="2" borderId="0" xfId="8" applyFont="1" applyFill="1"/>
    <xf numFmtId="0" fontId="98" fillId="2" borderId="13" xfId="8" applyFont="1" applyFill="1" applyBorder="1" applyAlignment="1">
      <alignment horizontal="left" vertical="center" wrapText="1"/>
    </xf>
    <xf numFmtId="0" fontId="16" fillId="2" borderId="0" xfId="8" applyFill="1" applyAlignment="1">
      <alignment horizontal="center"/>
    </xf>
    <xf numFmtId="2" fontId="16" fillId="2" borderId="0" xfId="8" applyNumberFormat="1" applyFill="1"/>
    <xf numFmtId="0" fontId="55" fillId="2" borderId="0" xfId="8" applyFont="1" applyFill="1" applyAlignment="1">
      <alignment horizontal="left" vertical="center" wrapText="1"/>
    </xf>
    <xf numFmtId="1" fontId="28" fillId="2" borderId="0" xfId="19" applyNumberFormat="1" applyFont="1" applyFill="1"/>
    <xf numFmtId="0" fontId="24" fillId="2" borderId="5" xfId="3" applyFont="1" applyFill="1" applyBorder="1" applyAlignment="1">
      <alignment horizontal="center" vertical="center" wrapText="1"/>
    </xf>
  </cellXfs>
  <cellStyles count="20">
    <cellStyle name="Hyperlink" xfId="18" builtinId="8"/>
    <cellStyle name="Normal" xfId="0" builtinId="0"/>
    <cellStyle name="Normal 2" xfId="1"/>
    <cellStyle name="Normal 2 2" xfId="5"/>
    <cellStyle name="Normal 2 2 2" xfId="14"/>
    <cellStyle name="Normal 2 2 3" xfId="16"/>
    <cellStyle name="Normal 2 2 4" xfId="17"/>
    <cellStyle name="Normal 2 3" xfId="6"/>
    <cellStyle name="Normal 2 3 2" xfId="7"/>
    <cellStyle name="Normal 2 3 2 2" xfId="11"/>
    <cellStyle name="Normal 2 4" xfId="8"/>
    <cellStyle name="Normal 2 5" xfId="12"/>
    <cellStyle name="Normal 2 6" xfId="19"/>
    <cellStyle name="Normal 2_Dist-wiseothersheetsconsolidation" xfId="9"/>
    <cellStyle name="Normal 2_pab-13.2014" xfId="13"/>
    <cellStyle name="Normal 3" xfId="2"/>
    <cellStyle name="Normal 3 2" xfId="3"/>
    <cellStyle name="Normal 3_Gasrequirementcost" xfId="10"/>
    <cellStyle name="Normal 4" xfId="4"/>
    <cellStyle name="Normal 5" xfId="15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1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71967</xdr:colOff>
      <xdr:row>1</xdr:row>
      <xdr:rowOff>151261</xdr:rowOff>
    </xdr:from>
    <xdr:ext cx="9271663" cy="455136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1967" y="310011"/>
          <a:ext cx="9271663" cy="4551367"/>
        </a:xfrm>
        <a:prstGeom prst="rect">
          <a:avLst/>
        </a:prstGeom>
        <a:solidFill>
          <a:schemeClr val="bg2">
            <a:lumMod val="90000"/>
          </a:schemeClr>
        </a:solidFill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2018-19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C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State: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ANDHRA PRADESH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Submission:03.05.2018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C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C0000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XXXX-Final%20AWP&amp;B%202018-19%2002-05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PR%202017-18\DIST%20AWP%20DATA\AWP&amp;B%202018-19%20Final%2011-5-2018-saty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Contents"/>
      <sheetName val="Sheet1"/>
      <sheetName val="AT-1-Gen_Info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 (2)"/>
      <sheetName val="T5A_PLAN_vs_PRFM  (3)"/>
      <sheetName val="T5B_PLAN_vs_PRFM  (3)"/>
      <sheetName val="T5C_Drought_PLAN_vs_PRFM  (2)"/>
      <sheetName val="T5D_Drought_PLAN_vs_PRFM   (2)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 Drinking Water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 (2)"/>
      <sheetName val="AT26A_NoWD"/>
      <sheetName val="AT27_Req_FG_CA_Pry"/>
      <sheetName val="AT27A_Req_FG_CA_UPry"/>
      <sheetName val="AT27B_Req_FG_CA_NCLP."/>
      <sheetName val="AT27C_Req_FG_Drought -Pry "/>
      <sheetName val="AT27D_Req_FG_Drought -UPry "/>
      <sheetName val="AT_28_RqmtKitchen"/>
      <sheetName val="AT-28A_RqmtPlinthArea"/>
      <sheetName val="AT-28A_RqmtPlinthArea (2)"/>
      <sheetName val="AT-28A_RqmtPlinth Area"/>
      <sheetName val="AT29_K_D"/>
      <sheetName val="AT-30_Coook-cum-Helper"/>
      <sheetName val="AT_32_Budget_provision XX"/>
      <sheetName val="AT32_Drought Pry Util"/>
      <sheetName val="AT-32A Drought UPry Ut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24">
          <cell r="G24">
            <v>1795221</v>
          </cell>
        </row>
      </sheetData>
      <sheetData sheetId="57" refreshError="1">
        <row r="24">
          <cell r="G24">
            <v>1130577</v>
          </cell>
        </row>
      </sheetData>
      <sheetData sheetId="58" refreshError="1">
        <row r="24">
          <cell r="C24">
            <v>3955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24">
          <cell r="O24">
            <v>57807</v>
          </cell>
          <cell r="P24">
            <v>30489</v>
          </cell>
        </row>
      </sheetData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Page"/>
      <sheetName val="Contents"/>
      <sheetName val="Sheet1"/>
      <sheetName val="AT-1-Gen_Info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 (2)"/>
      <sheetName val="T5A_PLAN_vs_PRFM  (3)"/>
      <sheetName val="T5B_PLAN_vs_PRFM  (3)"/>
      <sheetName val="T5C_Drought_PLAN_vs_PRFM  (2)"/>
      <sheetName val="T5D_Drought_PLAN_vs_PRFM   (2)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 Drinking Water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 (2)"/>
      <sheetName val="AT26A_NoWD"/>
      <sheetName val="AT27_Req_FG_CA_Pry"/>
      <sheetName val="AT27A_Req_FG_CA_UPry"/>
      <sheetName val="AT27B_Req_FG_CA_NCLP."/>
      <sheetName val="AT27C_Req_FG_Drought -Pry "/>
      <sheetName val="AT27D_Req_FG_Drought -UPry "/>
      <sheetName val="AT27F_RqFG-UPy-Remedial"/>
      <sheetName val="AT_28_RqmtKitchen"/>
      <sheetName val="AT-28A_RqmtPlinthArea"/>
      <sheetName val="AT-28A_RqmtPlinthArea (2)"/>
      <sheetName val="AT-28A_RqmtPlinth Area"/>
      <sheetName val="AT29_K_D"/>
      <sheetName val="AT-30_Coook-cum-Helper"/>
      <sheetName val="AT_32_Budget_provision"/>
      <sheetName val="AT32_Drought Pry Util"/>
      <sheetName val="AT-32A Drought UPry Ut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C13">
            <v>4553</v>
          </cell>
          <cell r="D13">
            <v>4163</v>
          </cell>
        </row>
        <row r="14">
          <cell r="C14">
            <v>4224</v>
          </cell>
          <cell r="D14">
            <v>3442</v>
          </cell>
        </row>
        <row r="15">
          <cell r="C15">
            <v>4991</v>
          </cell>
          <cell r="D15">
            <v>4436</v>
          </cell>
        </row>
        <row r="16">
          <cell r="C16">
            <v>5848</v>
          </cell>
          <cell r="D16">
            <v>5754</v>
          </cell>
        </row>
        <row r="17">
          <cell r="C17">
            <v>4596</v>
          </cell>
          <cell r="D17">
            <v>4185</v>
          </cell>
        </row>
        <row r="18">
          <cell r="C18">
            <v>3738</v>
          </cell>
          <cell r="D18">
            <v>3026</v>
          </cell>
        </row>
        <row r="19">
          <cell r="C19">
            <v>4952</v>
          </cell>
          <cell r="D19">
            <v>4806</v>
          </cell>
        </row>
        <row r="20">
          <cell r="C20">
            <v>4725</v>
          </cell>
          <cell r="D20">
            <v>4165</v>
          </cell>
        </row>
        <row r="21">
          <cell r="C21">
            <v>4687</v>
          </cell>
          <cell r="D21">
            <v>4540</v>
          </cell>
        </row>
        <row r="22">
          <cell r="C22">
            <v>6617</v>
          </cell>
          <cell r="D22">
            <v>5618</v>
          </cell>
        </row>
        <row r="23">
          <cell r="C23">
            <v>5280</v>
          </cell>
          <cell r="D23">
            <v>4272</v>
          </cell>
        </row>
        <row r="24">
          <cell r="C24">
            <v>4927</v>
          </cell>
          <cell r="D24">
            <v>4660</v>
          </cell>
        </row>
        <row r="25">
          <cell r="C25">
            <v>5399</v>
          </cell>
          <cell r="D25">
            <v>4740</v>
          </cell>
        </row>
      </sheetData>
      <sheetData sheetId="25">
        <row r="13">
          <cell r="C13">
            <v>2182</v>
          </cell>
          <cell r="D13">
            <v>2182</v>
          </cell>
        </row>
        <row r="14">
          <cell r="C14">
            <v>1974</v>
          </cell>
          <cell r="D14">
            <v>1943</v>
          </cell>
        </row>
        <row r="15">
          <cell r="C15">
            <v>1861</v>
          </cell>
          <cell r="D15">
            <v>1828</v>
          </cell>
        </row>
        <row r="16">
          <cell r="C16">
            <v>3014</v>
          </cell>
          <cell r="D16">
            <v>3003</v>
          </cell>
        </row>
        <row r="17">
          <cell r="C17">
            <v>2329</v>
          </cell>
          <cell r="D17">
            <v>2290</v>
          </cell>
        </row>
        <row r="18">
          <cell r="C18">
            <v>2645</v>
          </cell>
          <cell r="D18">
            <v>2645</v>
          </cell>
        </row>
        <row r="19">
          <cell r="C19">
            <v>1965</v>
          </cell>
          <cell r="D19">
            <v>1946</v>
          </cell>
        </row>
        <row r="20">
          <cell r="C20">
            <v>2027</v>
          </cell>
          <cell r="D20">
            <v>1870</v>
          </cell>
        </row>
        <row r="21">
          <cell r="C21">
            <v>1941</v>
          </cell>
          <cell r="D21">
            <v>1915</v>
          </cell>
        </row>
        <row r="22">
          <cell r="C22">
            <v>2680</v>
          </cell>
          <cell r="D22">
            <v>2674</v>
          </cell>
        </row>
        <row r="23">
          <cell r="C23">
            <v>2118</v>
          </cell>
          <cell r="D23">
            <v>2103</v>
          </cell>
        </row>
        <row r="24">
          <cell r="C24">
            <v>3104</v>
          </cell>
          <cell r="D24">
            <v>2960</v>
          </cell>
        </row>
        <row r="25">
          <cell r="C25">
            <v>3240</v>
          </cell>
          <cell r="D25">
            <v>3130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G11">
            <v>107596</v>
          </cell>
        </row>
        <row r="12">
          <cell r="G12">
            <v>88121</v>
          </cell>
        </row>
        <row r="13">
          <cell r="G13">
            <v>132136</v>
          </cell>
        </row>
        <row r="14">
          <cell r="G14">
            <v>169844</v>
          </cell>
        </row>
        <row r="15">
          <cell r="G15">
            <v>123227</v>
          </cell>
        </row>
        <row r="16">
          <cell r="G16">
            <v>116889</v>
          </cell>
        </row>
        <row r="17">
          <cell r="G17">
            <v>158307</v>
          </cell>
        </row>
        <row r="18">
          <cell r="G18">
            <v>151986</v>
          </cell>
        </row>
        <row r="19">
          <cell r="G19">
            <v>114242</v>
          </cell>
        </row>
        <row r="20">
          <cell r="G20">
            <v>153941</v>
          </cell>
        </row>
        <row r="21">
          <cell r="G21">
            <v>115208</v>
          </cell>
        </row>
        <row r="22">
          <cell r="G22">
            <v>159500</v>
          </cell>
        </row>
        <row r="23">
          <cell r="G23">
            <v>204224</v>
          </cell>
        </row>
      </sheetData>
      <sheetData sheetId="57">
        <row r="11">
          <cell r="G11">
            <v>70378</v>
          </cell>
        </row>
        <row r="12">
          <cell r="G12">
            <v>55793</v>
          </cell>
        </row>
        <row r="13">
          <cell r="G13">
            <v>75440</v>
          </cell>
        </row>
        <row r="14">
          <cell r="G14">
            <v>129101</v>
          </cell>
        </row>
        <row r="15">
          <cell r="G15">
            <v>94118</v>
          </cell>
        </row>
        <row r="16">
          <cell r="G16">
            <v>83338</v>
          </cell>
        </row>
        <row r="17">
          <cell r="G17">
            <v>100041</v>
          </cell>
        </row>
        <row r="18">
          <cell r="G18">
            <v>79761</v>
          </cell>
        </row>
        <row r="19">
          <cell r="G19">
            <v>64448</v>
          </cell>
        </row>
        <row r="20">
          <cell r="G20">
            <v>101966</v>
          </cell>
        </row>
        <row r="21">
          <cell r="G21">
            <v>61360</v>
          </cell>
        </row>
        <row r="22">
          <cell r="G22">
            <v>100535</v>
          </cell>
        </row>
        <row r="23">
          <cell r="G23">
            <v>114298</v>
          </cell>
        </row>
      </sheetData>
      <sheetData sheetId="58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976</v>
          </cell>
        </row>
        <row r="16">
          <cell r="C16">
            <v>104</v>
          </cell>
        </row>
        <row r="17">
          <cell r="C17">
            <v>2200</v>
          </cell>
        </row>
        <row r="18">
          <cell r="C18">
            <v>0</v>
          </cell>
        </row>
        <row r="19">
          <cell r="C19">
            <v>490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185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mailto:dse.mdm@gmail.com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"/>
  <sheetViews>
    <sheetView view="pageBreakPreview" zoomScale="90" zoomScaleSheetLayoutView="90" workbookViewId="0">
      <selection activeCell="Q16" sqref="Q16"/>
    </sheetView>
  </sheetViews>
  <sheetFormatPr defaultRowHeight="12.75" x14ac:dyDescent="0.2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  <pageSetUpPr fitToPage="1"/>
  </sheetPr>
  <dimension ref="A1:N27"/>
  <sheetViews>
    <sheetView view="pageBreakPreview" topLeftCell="A7" zoomScale="80" zoomScaleSheetLayoutView="80" workbookViewId="0">
      <selection activeCell="N11" sqref="N11:N23"/>
    </sheetView>
  </sheetViews>
  <sheetFormatPr defaultRowHeight="12.75" x14ac:dyDescent="0.2"/>
  <cols>
    <col min="2" max="2" width="16.42578125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4" ht="12.75" customHeight="1" x14ac:dyDescent="0.2">
      <c r="D1" s="1200"/>
      <c r="E1" s="1200"/>
      <c r="F1" s="1200"/>
      <c r="G1" s="1200"/>
      <c r="H1" s="1200"/>
      <c r="I1" s="1200"/>
      <c r="J1" s="1200"/>
      <c r="M1" s="46" t="s">
        <v>240</v>
      </c>
    </row>
    <row r="2" spans="1:14" ht="15" x14ac:dyDescent="0.2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</row>
    <row r="3" spans="1:14" ht="20.25" x14ac:dyDescent="0.3">
      <c r="A3" s="1202" t="s">
        <v>793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</row>
    <row r="4" spans="1:14" ht="11.25" customHeight="1" x14ac:dyDescent="0.2"/>
    <row r="5" spans="1:14" ht="15.75" x14ac:dyDescent="0.25">
      <c r="A5" s="1211" t="s">
        <v>806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</row>
    <row r="7" spans="1:14" x14ac:dyDescent="0.2">
      <c r="A7" s="1218" t="s">
        <v>662</v>
      </c>
      <c r="B7" s="1218"/>
      <c r="C7" s="1218"/>
      <c r="L7" s="1197" t="s">
        <v>967</v>
      </c>
      <c r="M7" s="1197"/>
      <c r="N7" s="1197"/>
    </row>
    <row r="8" spans="1:14" s="115" customFormat="1" ht="15.75" customHeight="1" x14ac:dyDescent="0.2">
      <c r="A8" s="1212" t="s">
        <v>2</v>
      </c>
      <c r="B8" s="1212" t="s">
        <v>3</v>
      </c>
      <c r="C8" s="1205" t="s">
        <v>4</v>
      </c>
      <c r="D8" s="1205"/>
      <c r="E8" s="1205"/>
      <c r="F8" s="1214"/>
      <c r="G8" s="1214"/>
      <c r="H8" s="1205" t="s">
        <v>93</v>
      </c>
      <c r="I8" s="1205"/>
      <c r="J8" s="1205"/>
      <c r="K8" s="1205"/>
      <c r="L8" s="1205"/>
      <c r="M8" s="1212" t="s">
        <v>122</v>
      </c>
      <c r="N8" s="1199" t="s">
        <v>123</v>
      </c>
    </row>
    <row r="9" spans="1:14" s="115" customFormat="1" ht="51" x14ac:dyDescent="0.2">
      <c r="A9" s="1213"/>
      <c r="B9" s="1213"/>
      <c r="C9" s="94" t="s">
        <v>5</v>
      </c>
      <c r="D9" s="94" t="s">
        <v>6</v>
      </c>
      <c r="E9" s="94" t="s">
        <v>339</v>
      </c>
      <c r="F9" s="94" t="s">
        <v>91</v>
      </c>
      <c r="G9" s="94" t="s">
        <v>109</v>
      </c>
      <c r="H9" s="94" t="s">
        <v>5</v>
      </c>
      <c r="I9" s="94" t="s">
        <v>6</v>
      </c>
      <c r="J9" s="94" t="s">
        <v>339</v>
      </c>
      <c r="K9" s="117" t="s">
        <v>91</v>
      </c>
      <c r="L9" s="117" t="s">
        <v>110</v>
      </c>
      <c r="M9" s="1213"/>
      <c r="N9" s="1199"/>
    </row>
    <row r="10" spans="1:14" s="10" customFormat="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2">
        <v>11</v>
      </c>
      <c r="L10" s="48">
        <v>12</v>
      </c>
      <c r="M10" s="48">
        <v>13</v>
      </c>
      <c r="N10" s="2">
        <v>14</v>
      </c>
    </row>
    <row r="11" spans="1:14" s="112" customFormat="1" ht="24" customHeight="1" x14ac:dyDescent="0.2">
      <c r="A11" s="110">
        <v>1</v>
      </c>
      <c r="B11" s="111" t="s">
        <v>647</v>
      </c>
      <c r="C11" s="283">
        <v>378</v>
      </c>
      <c r="D11" s="283">
        <v>1</v>
      </c>
      <c r="E11" s="283">
        <v>0</v>
      </c>
      <c r="F11" s="283">
        <v>0</v>
      </c>
      <c r="G11" s="283">
        <f>SUM(C11:F11)</f>
        <v>379</v>
      </c>
      <c r="H11" s="95">
        <v>378</v>
      </c>
      <c r="I11" s="95">
        <v>1</v>
      </c>
      <c r="J11" s="95">
        <v>0</v>
      </c>
      <c r="K11" s="95">
        <v>0</v>
      </c>
      <c r="L11" s="283">
        <f>SUM(H11:K11)</f>
        <v>379</v>
      </c>
      <c r="M11" s="95">
        <f>G11-L11</f>
        <v>0</v>
      </c>
      <c r="N11" s="1215"/>
    </row>
    <row r="12" spans="1:14" s="112" customFormat="1" ht="24" customHeight="1" x14ac:dyDescent="0.2">
      <c r="A12" s="110">
        <v>2</v>
      </c>
      <c r="B12" s="111" t="s">
        <v>648</v>
      </c>
      <c r="C12" s="283">
        <v>261</v>
      </c>
      <c r="D12" s="283">
        <v>11</v>
      </c>
      <c r="E12" s="283">
        <v>0</v>
      </c>
      <c r="F12" s="283">
        <v>0</v>
      </c>
      <c r="G12" s="283">
        <f t="shared" ref="G12:G23" si="0">SUM(C12:F12)</f>
        <v>272</v>
      </c>
      <c r="H12" s="95">
        <v>261</v>
      </c>
      <c r="I12" s="95">
        <v>11</v>
      </c>
      <c r="J12" s="95">
        <v>0</v>
      </c>
      <c r="K12" s="95">
        <v>0</v>
      </c>
      <c r="L12" s="283">
        <f t="shared" ref="L12:L23" si="1">SUM(H12:K12)</f>
        <v>272</v>
      </c>
      <c r="M12" s="95">
        <f t="shared" ref="M12:M23" si="2">G12-L12</f>
        <v>0</v>
      </c>
      <c r="N12" s="1216"/>
    </row>
    <row r="13" spans="1:14" s="112" customFormat="1" ht="24" customHeight="1" x14ac:dyDescent="0.2">
      <c r="A13" s="110">
        <v>3</v>
      </c>
      <c r="B13" s="111" t="s">
        <v>649</v>
      </c>
      <c r="C13" s="283">
        <v>310</v>
      </c>
      <c r="D13" s="283">
        <v>24</v>
      </c>
      <c r="E13" s="283">
        <v>0</v>
      </c>
      <c r="F13" s="283">
        <v>0</v>
      </c>
      <c r="G13" s="283">
        <f t="shared" si="0"/>
        <v>334</v>
      </c>
      <c r="H13" s="95">
        <v>310</v>
      </c>
      <c r="I13" s="95">
        <v>24</v>
      </c>
      <c r="J13" s="95">
        <v>0</v>
      </c>
      <c r="K13" s="95">
        <v>0</v>
      </c>
      <c r="L13" s="283">
        <f t="shared" si="1"/>
        <v>334</v>
      </c>
      <c r="M13" s="95">
        <f t="shared" si="2"/>
        <v>0</v>
      </c>
      <c r="N13" s="1216"/>
    </row>
    <row r="14" spans="1:14" s="112" customFormat="1" ht="24" customHeight="1" x14ac:dyDescent="0.2">
      <c r="A14" s="110">
        <v>4</v>
      </c>
      <c r="B14" s="111" t="s">
        <v>650</v>
      </c>
      <c r="C14" s="283">
        <v>537</v>
      </c>
      <c r="D14" s="283">
        <v>44</v>
      </c>
      <c r="E14" s="283">
        <v>0</v>
      </c>
      <c r="F14" s="283">
        <v>0</v>
      </c>
      <c r="G14" s="283">
        <f t="shared" si="0"/>
        <v>581</v>
      </c>
      <c r="H14" s="95">
        <v>537</v>
      </c>
      <c r="I14" s="95">
        <v>44</v>
      </c>
      <c r="J14" s="95">
        <v>0</v>
      </c>
      <c r="K14" s="95">
        <v>0</v>
      </c>
      <c r="L14" s="283">
        <f t="shared" si="1"/>
        <v>581</v>
      </c>
      <c r="M14" s="95">
        <f t="shared" si="2"/>
        <v>0</v>
      </c>
      <c r="N14" s="1216"/>
    </row>
    <row r="15" spans="1:14" s="112" customFormat="1" ht="24" customHeight="1" x14ac:dyDescent="0.2">
      <c r="A15" s="110">
        <v>5</v>
      </c>
      <c r="B15" s="111" t="s">
        <v>651</v>
      </c>
      <c r="C15" s="283">
        <v>407</v>
      </c>
      <c r="D15" s="283">
        <v>38</v>
      </c>
      <c r="E15" s="283">
        <v>0</v>
      </c>
      <c r="F15" s="283">
        <v>0</v>
      </c>
      <c r="G15" s="283">
        <f t="shared" si="0"/>
        <v>445</v>
      </c>
      <c r="H15" s="95">
        <v>407</v>
      </c>
      <c r="I15" s="95">
        <v>38</v>
      </c>
      <c r="J15" s="95">
        <v>0</v>
      </c>
      <c r="K15" s="95">
        <v>0</v>
      </c>
      <c r="L15" s="283">
        <f t="shared" si="1"/>
        <v>445</v>
      </c>
      <c r="M15" s="95">
        <f t="shared" si="2"/>
        <v>0</v>
      </c>
      <c r="N15" s="1216"/>
    </row>
    <row r="16" spans="1:14" s="112" customFormat="1" ht="24" customHeight="1" x14ac:dyDescent="0.2">
      <c r="A16" s="110">
        <v>6</v>
      </c>
      <c r="B16" s="111" t="s">
        <v>652</v>
      </c>
      <c r="C16" s="283">
        <v>384</v>
      </c>
      <c r="D16" s="283">
        <v>53</v>
      </c>
      <c r="E16" s="283">
        <v>0</v>
      </c>
      <c r="F16" s="283">
        <v>0</v>
      </c>
      <c r="G16" s="283">
        <f t="shared" si="0"/>
        <v>437</v>
      </c>
      <c r="H16" s="95">
        <v>384</v>
      </c>
      <c r="I16" s="95">
        <v>53</v>
      </c>
      <c r="J16" s="95">
        <v>0</v>
      </c>
      <c r="K16" s="95">
        <v>0</v>
      </c>
      <c r="L16" s="283">
        <f t="shared" si="1"/>
        <v>437</v>
      </c>
      <c r="M16" s="95">
        <f t="shared" si="2"/>
        <v>0</v>
      </c>
      <c r="N16" s="1216"/>
    </row>
    <row r="17" spans="1:14" s="112" customFormat="1" ht="24" customHeight="1" x14ac:dyDescent="0.2">
      <c r="A17" s="110">
        <v>7</v>
      </c>
      <c r="B17" s="111" t="s">
        <v>653</v>
      </c>
      <c r="C17" s="283">
        <v>369</v>
      </c>
      <c r="D17" s="283">
        <v>91</v>
      </c>
      <c r="E17" s="283">
        <v>0</v>
      </c>
      <c r="F17" s="283">
        <v>0</v>
      </c>
      <c r="G17" s="283">
        <f t="shared" si="0"/>
        <v>460</v>
      </c>
      <c r="H17" s="95">
        <v>369</v>
      </c>
      <c r="I17" s="95">
        <v>91</v>
      </c>
      <c r="J17" s="95">
        <v>0</v>
      </c>
      <c r="K17" s="95">
        <v>0</v>
      </c>
      <c r="L17" s="283">
        <f t="shared" si="1"/>
        <v>460</v>
      </c>
      <c r="M17" s="95">
        <f t="shared" si="2"/>
        <v>0</v>
      </c>
      <c r="N17" s="1216"/>
    </row>
    <row r="18" spans="1:14" s="112" customFormat="1" ht="24" customHeight="1" x14ac:dyDescent="0.2">
      <c r="A18" s="110">
        <v>8</v>
      </c>
      <c r="B18" s="111" t="s">
        <v>654</v>
      </c>
      <c r="C18" s="283">
        <v>371</v>
      </c>
      <c r="D18" s="283">
        <v>54</v>
      </c>
      <c r="E18" s="283">
        <v>0</v>
      </c>
      <c r="F18" s="283">
        <v>0</v>
      </c>
      <c r="G18" s="283">
        <f t="shared" si="0"/>
        <v>425</v>
      </c>
      <c r="H18" s="95">
        <v>371</v>
      </c>
      <c r="I18" s="95">
        <v>54</v>
      </c>
      <c r="J18" s="95">
        <v>0</v>
      </c>
      <c r="K18" s="95">
        <v>0</v>
      </c>
      <c r="L18" s="283">
        <f t="shared" si="1"/>
        <v>425</v>
      </c>
      <c r="M18" s="95">
        <f t="shared" si="2"/>
        <v>0</v>
      </c>
      <c r="N18" s="1216"/>
    </row>
    <row r="19" spans="1:14" s="112" customFormat="1" ht="24" customHeight="1" x14ac:dyDescent="0.2">
      <c r="A19" s="110">
        <v>9</v>
      </c>
      <c r="B19" s="111" t="s">
        <v>655</v>
      </c>
      <c r="C19" s="95">
        <v>356</v>
      </c>
      <c r="D19" s="283">
        <v>18</v>
      </c>
      <c r="E19" s="283">
        <v>0</v>
      </c>
      <c r="F19" s="283">
        <v>0</v>
      </c>
      <c r="G19" s="283">
        <f t="shared" si="0"/>
        <v>374</v>
      </c>
      <c r="H19" s="95">
        <v>356</v>
      </c>
      <c r="I19" s="95">
        <v>18</v>
      </c>
      <c r="J19" s="95">
        <v>0</v>
      </c>
      <c r="K19" s="95">
        <v>0</v>
      </c>
      <c r="L19" s="283">
        <f t="shared" si="1"/>
        <v>374</v>
      </c>
      <c r="M19" s="95">
        <f t="shared" si="2"/>
        <v>0</v>
      </c>
      <c r="N19" s="1216"/>
    </row>
    <row r="20" spans="1:14" s="112" customFormat="1" ht="24" customHeight="1" x14ac:dyDescent="0.2">
      <c r="A20" s="110">
        <v>10</v>
      </c>
      <c r="B20" s="111" t="s">
        <v>656</v>
      </c>
      <c r="C20" s="963">
        <v>598</v>
      </c>
      <c r="D20" s="963">
        <v>24</v>
      </c>
      <c r="E20" s="963">
        <v>0</v>
      </c>
      <c r="F20" s="963">
        <v>2</v>
      </c>
      <c r="G20" s="283">
        <f t="shared" si="0"/>
        <v>624</v>
      </c>
      <c r="H20" s="963">
        <v>598</v>
      </c>
      <c r="I20" s="963">
        <v>24</v>
      </c>
      <c r="J20" s="963">
        <v>0</v>
      </c>
      <c r="K20" s="963">
        <v>2</v>
      </c>
      <c r="L20" s="283">
        <f t="shared" si="1"/>
        <v>624</v>
      </c>
      <c r="M20" s="95">
        <f t="shared" si="2"/>
        <v>0</v>
      </c>
      <c r="N20" s="1216"/>
    </row>
    <row r="21" spans="1:14" s="112" customFormat="1" ht="24" customHeight="1" x14ac:dyDescent="0.2">
      <c r="A21" s="110">
        <v>11</v>
      </c>
      <c r="B21" s="111" t="s">
        <v>657</v>
      </c>
      <c r="C21" s="283">
        <v>346</v>
      </c>
      <c r="D21" s="283">
        <v>35</v>
      </c>
      <c r="E21" s="283">
        <v>0</v>
      </c>
      <c r="F21" s="283">
        <v>0</v>
      </c>
      <c r="G21" s="283">
        <f t="shared" si="0"/>
        <v>381</v>
      </c>
      <c r="H21" s="95">
        <v>346</v>
      </c>
      <c r="I21" s="95">
        <v>35</v>
      </c>
      <c r="J21" s="95">
        <v>0</v>
      </c>
      <c r="K21" s="95">
        <v>0</v>
      </c>
      <c r="L21" s="283">
        <f t="shared" si="1"/>
        <v>381</v>
      </c>
      <c r="M21" s="95">
        <f t="shared" si="2"/>
        <v>0</v>
      </c>
      <c r="N21" s="1216"/>
    </row>
    <row r="22" spans="1:14" s="112" customFormat="1" ht="24" customHeight="1" x14ac:dyDescent="0.2">
      <c r="A22" s="110">
        <v>12</v>
      </c>
      <c r="B22" s="111" t="s">
        <v>658</v>
      </c>
      <c r="C22" s="283">
        <v>514</v>
      </c>
      <c r="D22" s="283">
        <v>14</v>
      </c>
      <c r="E22" s="283">
        <v>0</v>
      </c>
      <c r="F22" s="283">
        <v>0</v>
      </c>
      <c r="G22" s="283">
        <f t="shared" si="0"/>
        <v>528</v>
      </c>
      <c r="H22" s="95">
        <v>514</v>
      </c>
      <c r="I22" s="95">
        <v>14</v>
      </c>
      <c r="J22" s="95">
        <v>0</v>
      </c>
      <c r="K22" s="95">
        <v>0</v>
      </c>
      <c r="L22" s="283">
        <f t="shared" si="1"/>
        <v>528</v>
      </c>
      <c r="M22" s="95">
        <f t="shared" si="2"/>
        <v>0</v>
      </c>
      <c r="N22" s="1216"/>
    </row>
    <row r="23" spans="1:14" s="112" customFormat="1" ht="24" customHeight="1" x14ac:dyDescent="0.2">
      <c r="A23" s="110">
        <v>13</v>
      </c>
      <c r="B23" s="111" t="s">
        <v>659</v>
      </c>
      <c r="C23" s="283">
        <v>412</v>
      </c>
      <c r="D23" s="283">
        <v>46</v>
      </c>
      <c r="E23" s="283">
        <v>0</v>
      </c>
      <c r="F23" s="283">
        <v>0</v>
      </c>
      <c r="G23" s="283">
        <f t="shared" si="0"/>
        <v>458</v>
      </c>
      <c r="H23" s="95">
        <v>412</v>
      </c>
      <c r="I23" s="95">
        <v>46</v>
      </c>
      <c r="J23" s="95">
        <v>0</v>
      </c>
      <c r="K23" s="95">
        <v>0</v>
      </c>
      <c r="L23" s="283">
        <f t="shared" si="1"/>
        <v>458</v>
      </c>
      <c r="M23" s="95">
        <f t="shared" si="2"/>
        <v>0</v>
      </c>
      <c r="N23" s="1217"/>
    </row>
    <row r="24" spans="1:14" s="113" customFormat="1" ht="24.75" customHeight="1" x14ac:dyDescent="0.25">
      <c r="A24" s="1206" t="s">
        <v>660</v>
      </c>
      <c r="B24" s="1206"/>
      <c r="C24" s="284">
        <f>SUM(C11:C23)</f>
        <v>5243</v>
      </c>
      <c r="D24" s="284">
        <f t="shared" ref="D24:M24" si="3">SUM(D11:D23)</f>
        <v>453</v>
      </c>
      <c r="E24" s="284">
        <f t="shared" si="3"/>
        <v>0</v>
      </c>
      <c r="F24" s="284">
        <f t="shared" si="3"/>
        <v>2</v>
      </c>
      <c r="G24" s="284">
        <f t="shared" si="3"/>
        <v>5698</v>
      </c>
      <c r="H24" s="284">
        <f t="shared" si="3"/>
        <v>5243</v>
      </c>
      <c r="I24" s="284">
        <f t="shared" si="3"/>
        <v>453</v>
      </c>
      <c r="J24" s="284">
        <f t="shared" si="3"/>
        <v>0</v>
      </c>
      <c r="K24" s="284">
        <f t="shared" si="3"/>
        <v>2</v>
      </c>
      <c r="L24" s="284">
        <f t="shared" si="3"/>
        <v>5698</v>
      </c>
      <c r="M24" s="284">
        <f t="shared" si="3"/>
        <v>0</v>
      </c>
      <c r="N24" s="284"/>
    </row>
    <row r="25" spans="1:14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M25" s="8"/>
    </row>
    <row r="26" spans="1:14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4" s="37" customFormat="1" ht="63" customHeight="1" x14ac:dyDescent="0.2">
      <c r="A27" s="1104" t="s">
        <v>9</v>
      </c>
      <c r="B27" s="1104"/>
      <c r="C27" s="1104"/>
      <c r="D27" s="1104"/>
      <c r="E27" s="98"/>
      <c r="I27" s="104"/>
      <c r="J27" s="104"/>
      <c r="K27" s="1104" t="s">
        <v>646</v>
      </c>
      <c r="L27" s="1104"/>
      <c r="M27" s="1104"/>
      <c r="N27" s="1104"/>
    </row>
  </sheetData>
  <mergeCells count="16">
    <mergeCell ref="D1:J1"/>
    <mergeCell ref="A2:N2"/>
    <mergeCell ref="A3:N3"/>
    <mergeCell ref="A5:N5"/>
    <mergeCell ref="L7:N7"/>
    <mergeCell ref="A7:C7"/>
    <mergeCell ref="A24:B24"/>
    <mergeCell ref="A27:D27"/>
    <mergeCell ref="K27:N27"/>
    <mergeCell ref="N8:N9"/>
    <mergeCell ref="A8:A9"/>
    <mergeCell ref="B8:B9"/>
    <mergeCell ref="C8:G8"/>
    <mergeCell ref="H8:L8"/>
    <mergeCell ref="M8:M9"/>
    <mergeCell ref="N11:N23"/>
  </mergeCells>
  <phoneticPr fontId="0" type="noConversion"/>
  <printOptions horizontalCentered="1"/>
  <pageMargins left="0.70866141732283472" right="7.874015748031496E-2" top="0.23622047244094491" bottom="0" header="0.31496062992125984" footer="0.31496062992125984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</sheetPr>
  <dimension ref="A1:Q27"/>
  <sheetViews>
    <sheetView view="pageBreakPreview" topLeftCell="A9" zoomScale="80" zoomScaleSheetLayoutView="80" workbookViewId="0">
      <selection activeCell="R9" sqref="R1:T1048576"/>
    </sheetView>
  </sheetViews>
  <sheetFormatPr defaultColWidth="9.140625" defaultRowHeight="12.75" x14ac:dyDescent="0.2"/>
  <cols>
    <col min="1" max="1" width="7.140625" style="78" customWidth="1"/>
    <col min="2" max="2" width="17.42578125" style="78" customWidth="1"/>
    <col min="3" max="3" width="10.28515625" style="78" customWidth="1"/>
    <col min="4" max="4" width="9.28515625" style="78" customWidth="1"/>
    <col min="5" max="6" width="9.140625" style="78"/>
    <col min="7" max="7" width="11.7109375" style="78" customWidth="1"/>
    <col min="8" max="8" width="11" style="383" customWidth="1"/>
    <col min="9" max="9" width="9.7109375" style="78" customWidth="1"/>
    <col min="10" max="10" width="9.5703125" style="78" customWidth="1"/>
    <col min="11" max="11" width="11.7109375" style="78" customWidth="1"/>
    <col min="12" max="12" width="10.7109375" style="78" customWidth="1"/>
    <col min="13" max="13" width="10.5703125" style="78" customWidth="1"/>
    <col min="14" max="14" width="10" style="78" customWidth="1"/>
    <col min="15" max="15" width="8.85546875" style="78" customWidth="1"/>
    <col min="16" max="16" width="9.140625" style="78"/>
    <col min="17" max="17" width="11" style="78" customWidth="1"/>
    <col min="18" max="18" width="16.28515625" style="78" customWidth="1"/>
    <col min="19" max="16384" width="9.140625" style="78"/>
  </cols>
  <sheetData>
    <row r="1" spans="1:17" s="87" customFormat="1" ht="12.75" customHeight="1" x14ac:dyDescent="0.2">
      <c r="D1" s="78"/>
      <c r="E1" s="78"/>
      <c r="F1" s="78"/>
      <c r="G1" s="78"/>
      <c r="H1" s="383"/>
      <c r="I1" s="78"/>
      <c r="J1" s="78"/>
      <c r="K1" s="78"/>
      <c r="L1" s="78"/>
      <c r="M1" s="78"/>
      <c r="N1" s="78"/>
      <c r="O1" s="1220" t="s">
        <v>52</v>
      </c>
      <c r="P1" s="1220"/>
      <c r="Q1" s="1220"/>
    </row>
    <row r="2" spans="1:17" s="87" customFormat="1" ht="15" x14ac:dyDescent="0.2">
      <c r="A2" s="1221" t="s">
        <v>0</v>
      </c>
      <c r="B2" s="1221"/>
      <c r="C2" s="1221"/>
      <c r="D2" s="1221"/>
      <c r="E2" s="1221"/>
      <c r="F2" s="1221"/>
      <c r="G2" s="1221"/>
      <c r="H2" s="1221"/>
      <c r="I2" s="1221"/>
      <c r="J2" s="1221"/>
      <c r="K2" s="1221"/>
      <c r="L2" s="1221"/>
      <c r="M2" s="316"/>
      <c r="N2" s="316"/>
      <c r="O2" s="316"/>
      <c r="P2" s="316"/>
    </row>
    <row r="3" spans="1:17" s="87" customFormat="1" ht="20.25" x14ac:dyDescent="0.3">
      <c r="A3" s="1222" t="s">
        <v>793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318"/>
      <c r="N3" s="318"/>
      <c r="O3" s="318"/>
      <c r="P3" s="318"/>
    </row>
    <row r="4" spans="1:17" s="87" customFormat="1" ht="11.25" customHeight="1" x14ac:dyDescent="0.2">
      <c r="H4" s="384"/>
    </row>
    <row r="5" spans="1:17" s="87" customFormat="1" ht="15.75" x14ac:dyDescent="0.25">
      <c r="A5" s="1223" t="s">
        <v>807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78"/>
      <c r="N5" s="78"/>
      <c r="O5" s="78"/>
      <c r="P5" s="78"/>
    </row>
    <row r="7" spans="1:17" ht="17.45" customHeight="1" x14ac:dyDescent="0.2">
      <c r="A7" s="1145" t="s">
        <v>663</v>
      </c>
      <c r="B7" s="1145"/>
      <c r="N7" s="1196" t="s">
        <v>967</v>
      </c>
      <c r="O7" s="1196"/>
      <c r="P7" s="1196"/>
      <c r="Q7" s="1196"/>
    </row>
    <row r="8" spans="1:17" s="385" customFormat="1" ht="24" customHeight="1" x14ac:dyDescent="0.2">
      <c r="A8" s="1224" t="s">
        <v>2</v>
      </c>
      <c r="B8" s="1224" t="s">
        <v>3</v>
      </c>
      <c r="C8" s="1225" t="s">
        <v>808</v>
      </c>
      <c r="D8" s="1225"/>
      <c r="E8" s="1225"/>
      <c r="F8" s="1225"/>
      <c r="G8" s="1225"/>
      <c r="H8" s="1226" t="s">
        <v>809</v>
      </c>
      <c r="I8" s="1225"/>
      <c r="J8" s="1225"/>
      <c r="K8" s="1225"/>
      <c r="L8" s="1225"/>
      <c r="M8" s="1227" t="s">
        <v>102</v>
      </c>
      <c r="N8" s="1228"/>
      <c r="O8" s="1228"/>
      <c r="P8" s="1228"/>
      <c r="Q8" s="1229"/>
    </row>
    <row r="9" spans="1:17" s="386" customFormat="1" ht="60" customHeight="1" x14ac:dyDescent="0.2">
      <c r="A9" s="1224"/>
      <c r="B9" s="1224"/>
      <c r="C9" s="928" t="s">
        <v>197</v>
      </c>
      <c r="D9" s="928" t="s">
        <v>198</v>
      </c>
      <c r="E9" s="928" t="s">
        <v>339</v>
      </c>
      <c r="F9" s="928" t="s">
        <v>203</v>
      </c>
      <c r="G9" s="928" t="s">
        <v>109</v>
      </c>
      <c r="H9" s="719" t="s">
        <v>197</v>
      </c>
      <c r="I9" s="928" t="s">
        <v>198</v>
      </c>
      <c r="J9" s="928" t="s">
        <v>339</v>
      </c>
      <c r="K9" s="928" t="s">
        <v>203</v>
      </c>
      <c r="L9" s="928" t="s">
        <v>342</v>
      </c>
      <c r="M9" s="928" t="s">
        <v>197</v>
      </c>
      <c r="N9" s="928" t="s">
        <v>198</v>
      </c>
      <c r="O9" s="928" t="s">
        <v>339</v>
      </c>
      <c r="P9" s="928" t="s">
        <v>203</v>
      </c>
      <c r="Q9" s="928" t="s">
        <v>111</v>
      </c>
    </row>
    <row r="10" spans="1:17" s="388" customFormat="1" x14ac:dyDescent="0.2">
      <c r="A10" s="387">
        <v>1</v>
      </c>
      <c r="B10" s="387">
        <v>2</v>
      </c>
      <c r="C10" s="387">
        <v>3</v>
      </c>
      <c r="D10" s="387">
        <v>4</v>
      </c>
      <c r="E10" s="387">
        <v>5</v>
      </c>
      <c r="F10" s="387">
        <v>6</v>
      </c>
      <c r="G10" s="387">
        <v>7</v>
      </c>
      <c r="H10" s="387">
        <v>8</v>
      </c>
      <c r="I10" s="387">
        <v>9</v>
      </c>
      <c r="J10" s="387">
        <v>10</v>
      </c>
      <c r="K10" s="387">
        <v>11</v>
      </c>
      <c r="L10" s="387">
        <v>12</v>
      </c>
      <c r="M10" s="387">
        <v>13</v>
      </c>
      <c r="N10" s="387">
        <v>14</v>
      </c>
      <c r="O10" s="387">
        <v>15</v>
      </c>
      <c r="P10" s="387">
        <v>16</v>
      </c>
      <c r="Q10" s="387">
        <v>17</v>
      </c>
    </row>
    <row r="11" spans="1:17" s="378" customFormat="1" ht="27" customHeight="1" x14ac:dyDescent="0.2">
      <c r="A11" s="120">
        <v>1</v>
      </c>
      <c r="B11" s="130" t="s">
        <v>647</v>
      </c>
      <c r="C11" s="159">
        <v>109403</v>
      </c>
      <c r="D11" s="159">
        <v>1016</v>
      </c>
      <c r="E11" s="159">
        <v>0</v>
      </c>
      <c r="F11" s="159">
        <v>0</v>
      </c>
      <c r="G11" s="159">
        <f>SUM(C11+D11+E11+F11)</f>
        <v>110419</v>
      </c>
      <c r="H11" s="159">
        <v>103218</v>
      </c>
      <c r="I11" s="159">
        <v>912</v>
      </c>
      <c r="J11" s="159">
        <v>0</v>
      </c>
      <c r="K11" s="159">
        <v>0</v>
      </c>
      <c r="L11" s="159">
        <f>SUM(H11+I11+J11+K11)</f>
        <v>104130</v>
      </c>
      <c r="M11" s="159">
        <f>H11*220</f>
        <v>22707960</v>
      </c>
      <c r="N11" s="159">
        <f t="shared" ref="N11:N23" si="0">I11*220</f>
        <v>200640</v>
      </c>
      <c r="O11" s="159">
        <f>J11*302</f>
        <v>0</v>
      </c>
      <c r="P11" s="159">
        <f t="shared" ref="P11:P23" si="1">K11*220</f>
        <v>0</v>
      </c>
      <c r="Q11" s="159">
        <f>SUM(M11+N11+O11+P11)</f>
        <v>22908600</v>
      </c>
    </row>
    <row r="12" spans="1:17" s="378" customFormat="1" ht="27" customHeight="1" x14ac:dyDescent="0.2">
      <c r="A12" s="120">
        <v>2</v>
      </c>
      <c r="B12" s="130" t="s">
        <v>648</v>
      </c>
      <c r="C12" s="159">
        <v>88186</v>
      </c>
      <c r="D12" s="159">
        <v>3706</v>
      </c>
      <c r="E12" s="159">
        <v>0</v>
      </c>
      <c r="F12" s="159">
        <v>0</v>
      </c>
      <c r="G12" s="159">
        <f t="shared" ref="G12:G23" si="2">SUM(C12+D12+E12+F12)</f>
        <v>91892</v>
      </c>
      <c r="H12" s="728">
        <v>82933</v>
      </c>
      <c r="I12" s="728">
        <v>3558</v>
      </c>
      <c r="J12" s="159">
        <v>0</v>
      </c>
      <c r="K12" s="159">
        <v>0</v>
      </c>
      <c r="L12" s="159">
        <f t="shared" ref="L12:L23" si="3">SUM(H12+I12+J12+K12)</f>
        <v>86491</v>
      </c>
      <c r="M12" s="159">
        <f t="shared" ref="M12:M23" si="4">H12*220</f>
        <v>18245260</v>
      </c>
      <c r="N12" s="159">
        <f t="shared" si="0"/>
        <v>782760</v>
      </c>
      <c r="O12" s="159">
        <f t="shared" ref="O12:O23" si="5">J12*302</f>
        <v>0</v>
      </c>
      <c r="P12" s="159">
        <f t="shared" si="1"/>
        <v>0</v>
      </c>
      <c r="Q12" s="159">
        <f t="shared" ref="Q12:Q23" si="6">SUM(M12+N12+O12+P12)</f>
        <v>19028020</v>
      </c>
    </row>
    <row r="13" spans="1:17" s="378" customFormat="1" ht="27" customHeight="1" x14ac:dyDescent="0.2">
      <c r="A13" s="120">
        <v>3</v>
      </c>
      <c r="B13" s="130" t="s">
        <v>649</v>
      </c>
      <c r="C13" s="159">
        <v>127180</v>
      </c>
      <c r="D13" s="159">
        <v>6875</v>
      </c>
      <c r="E13" s="159">
        <v>0</v>
      </c>
      <c r="F13" s="159">
        <v>283</v>
      </c>
      <c r="G13" s="159">
        <f t="shared" si="2"/>
        <v>134338</v>
      </c>
      <c r="H13" s="159">
        <v>117428</v>
      </c>
      <c r="I13" s="159">
        <v>5739</v>
      </c>
      <c r="J13" s="159">
        <v>0</v>
      </c>
      <c r="K13" s="159">
        <v>184</v>
      </c>
      <c r="L13" s="159">
        <f t="shared" si="3"/>
        <v>123351</v>
      </c>
      <c r="M13" s="159">
        <f t="shared" si="4"/>
        <v>25834160</v>
      </c>
      <c r="N13" s="159">
        <f t="shared" si="0"/>
        <v>1262580</v>
      </c>
      <c r="O13" s="159">
        <f t="shared" si="5"/>
        <v>0</v>
      </c>
      <c r="P13" s="159">
        <f t="shared" si="1"/>
        <v>40480</v>
      </c>
      <c r="Q13" s="159">
        <f t="shared" si="6"/>
        <v>27137220</v>
      </c>
    </row>
    <row r="14" spans="1:17" s="378" customFormat="1" ht="27" customHeight="1" x14ac:dyDescent="0.2">
      <c r="A14" s="120">
        <v>4</v>
      </c>
      <c r="B14" s="130" t="s">
        <v>650</v>
      </c>
      <c r="C14" s="159">
        <v>152114</v>
      </c>
      <c r="D14" s="159">
        <v>9202</v>
      </c>
      <c r="E14" s="159">
        <v>0</v>
      </c>
      <c r="F14" s="159">
        <v>0</v>
      </c>
      <c r="G14" s="159">
        <f t="shared" si="2"/>
        <v>161316</v>
      </c>
      <c r="H14" s="159">
        <v>136123</v>
      </c>
      <c r="I14" s="159">
        <v>4495</v>
      </c>
      <c r="J14" s="159">
        <v>0</v>
      </c>
      <c r="K14" s="159">
        <v>0</v>
      </c>
      <c r="L14" s="159">
        <f t="shared" si="3"/>
        <v>140618</v>
      </c>
      <c r="M14" s="159">
        <f t="shared" si="4"/>
        <v>29947060</v>
      </c>
      <c r="N14" s="159">
        <f t="shared" si="0"/>
        <v>988900</v>
      </c>
      <c r="O14" s="159">
        <f t="shared" si="5"/>
        <v>0</v>
      </c>
      <c r="P14" s="159">
        <f t="shared" si="1"/>
        <v>0</v>
      </c>
      <c r="Q14" s="159">
        <f t="shared" si="6"/>
        <v>30935960</v>
      </c>
    </row>
    <row r="15" spans="1:17" s="378" customFormat="1" ht="27" customHeight="1" x14ac:dyDescent="0.2">
      <c r="A15" s="120">
        <v>5</v>
      </c>
      <c r="B15" s="130" t="s">
        <v>651</v>
      </c>
      <c r="C15" s="159">
        <v>116353</v>
      </c>
      <c r="D15" s="159">
        <v>10184</v>
      </c>
      <c r="E15" s="159">
        <v>996</v>
      </c>
      <c r="F15" s="159">
        <v>0</v>
      </c>
      <c r="G15" s="159">
        <f t="shared" si="2"/>
        <v>127533</v>
      </c>
      <c r="H15" s="159">
        <v>110243</v>
      </c>
      <c r="I15" s="159">
        <v>9033</v>
      </c>
      <c r="J15" s="159">
        <v>977</v>
      </c>
      <c r="K15" s="159">
        <v>0</v>
      </c>
      <c r="L15" s="159">
        <f t="shared" si="3"/>
        <v>120253</v>
      </c>
      <c r="M15" s="159">
        <f t="shared" si="4"/>
        <v>24253460</v>
      </c>
      <c r="N15" s="159">
        <f t="shared" si="0"/>
        <v>1987260</v>
      </c>
      <c r="O15" s="159">
        <f t="shared" si="5"/>
        <v>295054</v>
      </c>
      <c r="P15" s="159">
        <f t="shared" si="1"/>
        <v>0</v>
      </c>
      <c r="Q15" s="159">
        <f t="shared" si="6"/>
        <v>26535774</v>
      </c>
    </row>
    <row r="16" spans="1:17" s="378" customFormat="1" ht="27" customHeight="1" x14ac:dyDescent="0.2">
      <c r="A16" s="120">
        <v>6</v>
      </c>
      <c r="B16" s="130" t="s">
        <v>652</v>
      </c>
      <c r="C16" s="159">
        <v>104229</v>
      </c>
      <c r="D16" s="159">
        <v>26049</v>
      </c>
      <c r="E16" s="159">
        <v>120</v>
      </c>
      <c r="F16" s="159">
        <v>67</v>
      </c>
      <c r="G16" s="159">
        <f t="shared" si="2"/>
        <v>130465</v>
      </c>
      <c r="H16" s="159">
        <v>101364</v>
      </c>
      <c r="I16" s="159">
        <v>25142</v>
      </c>
      <c r="J16" s="159">
        <v>107</v>
      </c>
      <c r="K16" s="159">
        <v>44</v>
      </c>
      <c r="L16" s="159">
        <f t="shared" si="3"/>
        <v>126657</v>
      </c>
      <c r="M16" s="159">
        <f t="shared" si="4"/>
        <v>22300080</v>
      </c>
      <c r="N16" s="159">
        <f t="shared" si="0"/>
        <v>5531240</v>
      </c>
      <c r="O16" s="159">
        <f t="shared" si="5"/>
        <v>32314</v>
      </c>
      <c r="P16" s="159">
        <f t="shared" si="1"/>
        <v>9680</v>
      </c>
      <c r="Q16" s="159">
        <f t="shared" si="6"/>
        <v>27873314</v>
      </c>
    </row>
    <row r="17" spans="1:17" s="725" customFormat="1" ht="27" customHeight="1" x14ac:dyDescent="0.2">
      <c r="A17" s="120">
        <v>7</v>
      </c>
      <c r="B17" s="130" t="s">
        <v>653</v>
      </c>
      <c r="C17" s="159">
        <v>145074</v>
      </c>
      <c r="D17" s="159">
        <v>14877</v>
      </c>
      <c r="E17" s="159">
        <v>2600</v>
      </c>
      <c r="F17" s="159">
        <v>822</v>
      </c>
      <c r="G17" s="159">
        <f t="shared" si="2"/>
        <v>163373</v>
      </c>
      <c r="H17" s="159">
        <v>131534</v>
      </c>
      <c r="I17" s="159">
        <v>13136</v>
      </c>
      <c r="J17" s="159">
        <v>2200</v>
      </c>
      <c r="K17" s="159">
        <v>428</v>
      </c>
      <c r="L17" s="159">
        <f t="shared" si="3"/>
        <v>147298</v>
      </c>
      <c r="M17" s="159">
        <f t="shared" si="4"/>
        <v>28937480</v>
      </c>
      <c r="N17" s="159">
        <f t="shared" si="0"/>
        <v>2889920</v>
      </c>
      <c r="O17" s="159">
        <f t="shared" si="5"/>
        <v>664400</v>
      </c>
      <c r="P17" s="159">
        <f t="shared" si="1"/>
        <v>94160</v>
      </c>
      <c r="Q17" s="159">
        <f t="shared" si="6"/>
        <v>32585960</v>
      </c>
    </row>
    <row r="18" spans="1:17" s="378" customFormat="1" ht="27" customHeight="1" x14ac:dyDescent="0.2">
      <c r="A18" s="120">
        <v>8</v>
      </c>
      <c r="B18" s="130" t="s">
        <v>654</v>
      </c>
      <c r="C18" s="159">
        <v>127605</v>
      </c>
      <c r="D18" s="159">
        <v>11491</v>
      </c>
      <c r="E18" s="159">
        <v>0</v>
      </c>
      <c r="F18" s="159">
        <v>177</v>
      </c>
      <c r="G18" s="159">
        <f t="shared" si="2"/>
        <v>139273</v>
      </c>
      <c r="H18" s="159">
        <v>113398</v>
      </c>
      <c r="I18" s="159">
        <v>7311</v>
      </c>
      <c r="J18" s="159">
        <v>0</v>
      </c>
      <c r="K18" s="159">
        <v>98</v>
      </c>
      <c r="L18" s="159">
        <f t="shared" si="3"/>
        <v>120807</v>
      </c>
      <c r="M18" s="159">
        <f t="shared" si="4"/>
        <v>24947560</v>
      </c>
      <c r="N18" s="159">
        <f t="shared" si="0"/>
        <v>1608420</v>
      </c>
      <c r="O18" s="159">
        <f t="shared" si="5"/>
        <v>0</v>
      </c>
      <c r="P18" s="159">
        <f t="shared" si="1"/>
        <v>21560</v>
      </c>
      <c r="Q18" s="159">
        <f t="shared" si="6"/>
        <v>26577540</v>
      </c>
    </row>
    <row r="19" spans="1:17" s="378" customFormat="1" ht="27" customHeight="1" x14ac:dyDescent="0.2">
      <c r="A19" s="120">
        <v>9</v>
      </c>
      <c r="B19" s="130" t="s">
        <v>655</v>
      </c>
      <c r="C19" s="159">
        <v>114451</v>
      </c>
      <c r="D19" s="159">
        <v>5116</v>
      </c>
      <c r="E19" s="159">
        <v>490</v>
      </c>
      <c r="F19" s="159">
        <v>622</v>
      </c>
      <c r="G19" s="159">
        <f t="shared" si="2"/>
        <v>120679</v>
      </c>
      <c r="H19" s="159">
        <v>113418</v>
      </c>
      <c r="I19" s="159">
        <v>4990</v>
      </c>
      <c r="J19" s="159">
        <v>368</v>
      </c>
      <c r="K19" s="159">
        <v>620</v>
      </c>
      <c r="L19" s="159">
        <f t="shared" si="3"/>
        <v>119396</v>
      </c>
      <c r="M19" s="159">
        <f t="shared" si="4"/>
        <v>24951960</v>
      </c>
      <c r="N19" s="159">
        <f t="shared" si="0"/>
        <v>1097800</v>
      </c>
      <c r="O19" s="159">
        <f t="shared" si="5"/>
        <v>111136</v>
      </c>
      <c r="P19" s="159">
        <f t="shared" si="1"/>
        <v>136400</v>
      </c>
      <c r="Q19" s="159">
        <f t="shared" si="6"/>
        <v>26297296</v>
      </c>
    </row>
    <row r="20" spans="1:17" s="378" customFormat="1" ht="27" customHeight="1" x14ac:dyDescent="0.2">
      <c r="A20" s="120">
        <v>10</v>
      </c>
      <c r="B20" s="130" t="s">
        <v>656</v>
      </c>
      <c r="C20" s="393">
        <v>151398</v>
      </c>
      <c r="D20" s="393">
        <v>2346</v>
      </c>
      <c r="E20" s="393">
        <v>0</v>
      </c>
      <c r="F20" s="393">
        <v>197</v>
      </c>
      <c r="G20" s="159">
        <f t="shared" si="2"/>
        <v>153941</v>
      </c>
      <c r="H20" s="394">
        <v>138373</v>
      </c>
      <c r="I20" s="393">
        <v>2030</v>
      </c>
      <c r="J20" s="393">
        <v>0</v>
      </c>
      <c r="K20" s="393">
        <v>101</v>
      </c>
      <c r="L20" s="159">
        <f t="shared" si="3"/>
        <v>140504</v>
      </c>
      <c r="M20" s="159">
        <f t="shared" si="4"/>
        <v>30442060</v>
      </c>
      <c r="N20" s="159">
        <f t="shared" si="0"/>
        <v>446600</v>
      </c>
      <c r="O20" s="159">
        <f t="shared" si="5"/>
        <v>0</v>
      </c>
      <c r="P20" s="159">
        <f t="shared" si="1"/>
        <v>22220</v>
      </c>
      <c r="Q20" s="159">
        <f t="shared" si="6"/>
        <v>30910880</v>
      </c>
    </row>
    <row r="21" spans="1:17" s="725" customFormat="1" ht="27" customHeight="1" x14ac:dyDescent="0.2">
      <c r="A21" s="120">
        <v>11</v>
      </c>
      <c r="B21" s="130" t="s">
        <v>657</v>
      </c>
      <c r="C21" s="159">
        <v>113339</v>
      </c>
      <c r="D21" s="159">
        <v>7224</v>
      </c>
      <c r="E21" s="159">
        <v>0</v>
      </c>
      <c r="F21" s="159">
        <v>1606</v>
      </c>
      <c r="G21" s="159">
        <f t="shared" si="2"/>
        <v>122169</v>
      </c>
      <c r="H21" s="159">
        <v>111538</v>
      </c>
      <c r="I21" s="159">
        <v>3875</v>
      </c>
      <c r="J21" s="159">
        <v>0</v>
      </c>
      <c r="K21" s="159">
        <v>1404</v>
      </c>
      <c r="L21" s="159">
        <f t="shared" si="3"/>
        <v>116817</v>
      </c>
      <c r="M21" s="159">
        <f t="shared" si="4"/>
        <v>24538360</v>
      </c>
      <c r="N21" s="159">
        <f t="shared" si="0"/>
        <v>852500</v>
      </c>
      <c r="O21" s="159">
        <f t="shared" si="5"/>
        <v>0</v>
      </c>
      <c r="P21" s="159">
        <f t="shared" si="1"/>
        <v>308880</v>
      </c>
      <c r="Q21" s="159">
        <f t="shared" si="6"/>
        <v>25699740</v>
      </c>
    </row>
    <row r="22" spans="1:17" s="378" customFormat="1" ht="27" customHeight="1" x14ac:dyDescent="0.2">
      <c r="A22" s="120">
        <v>12</v>
      </c>
      <c r="B22" s="130" t="s">
        <v>658</v>
      </c>
      <c r="C22" s="159">
        <v>138966</v>
      </c>
      <c r="D22" s="159">
        <v>2238</v>
      </c>
      <c r="E22" s="159">
        <v>0</v>
      </c>
      <c r="F22" s="159">
        <v>740</v>
      </c>
      <c r="G22" s="159">
        <f t="shared" si="2"/>
        <v>141944</v>
      </c>
      <c r="H22" s="159">
        <v>108107</v>
      </c>
      <c r="I22" s="159">
        <v>1603</v>
      </c>
      <c r="J22" s="159">
        <v>0</v>
      </c>
      <c r="K22" s="159">
        <v>498</v>
      </c>
      <c r="L22" s="159">
        <f t="shared" si="3"/>
        <v>110208</v>
      </c>
      <c r="M22" s="159">
        <f t="shared" si="4"/>
        <v>23783540</v>
      </c>
      <c r="N22" s="159">
        <f t="shared" si="0"/>
        <v>352660</v>
      </c>
      <c r="O22" s="159">
        <f t="shared" si="5"/>
        <v>0</v>
      </c>
      <c r="P22" s="159">
        <f t="shared" si="1"/>
        <v>109560</v>
      </c>
      <c r="Q22" s="159">
        <f t="shared" si="6"/>
        <v>24245760</v>
      </c>
    </row>
    <row r="23" spans="1:17" s="378" customFormat="1" ht="27" customHeight="1" x14ac:dyDescent="0.2">
      <c r="A23" s="120">
        <v>13</v>
      </c>
      <c r="B23" s="130" t="s">
        <v>659</v>
      </c>
      <c r="C23" s="159">
        <v>191215</v>
      </c>
      <c r="D23" s="159">
        <v>11858</v>
      </c>
      <c r="E23" s="159">
        <v>185</v>
      </c>
      <c r="F23" s="159">
        <v>3201</v>
      </c>
      <c r="G23" s="159">
        <f t="shared" si="2"/>
        <v>206459</v>
      </c>
      <c r="H23" s="159">
        <v>190275</v>
      </c>
      <c r="I23" s="159">
        <v>10227</v>
      </c>
      <c r="J23" s="159">
        <v>185</v>
      </c>
      <c r="K23" s="159">
        <v>3034</v>
      </c>
      <c r="L23" s="159">
        <f t="shared" si="3"/>
        <v>203721</v>
      </c>
      <c r="M23" s="159">
        <f t="shared" si="4"/>
        <v>41860500</v>
      </c>
      <c r="N23" s="159">
        <f t="shared" si="0"/>
        <v>2249940</v>
      </c>
      <c r="O23" s="159">
        <f t="shared" si="5"/>
        <v>55870</v>
      </c>
      <c r="P23" s="159">
        <f t="shared" si="1"/>
        <v>667480</v>
      </c>
      <c r="Q23" s="159">
        <f t="shared" si="6"/>
        <v>44833790</v>
      </c>
    </row>
    <row r="24" spans="1:17" s="379" customFormat="1" ht="27" customHeight="1" x14ac:dyDescent="0.25">
      <c r="A24" s="1219" t="s">
        <v>660</v>
      </c>
      <c r="B24" s="1219"/>
      <c r="C24" s="159">
        <f>SUM(C11:C23)</f>
        <v>1679513</v>
      </c>
      <c r="D24" s="159">
        <f t="shared" ref="D24:P24" si="7">SUM(D11:D23)</f>
        <v>112182</v>
      </c>
      <c r="E24" s="159">
        <f t="shared" si="7"/>
        <v>4391</v>
      </c>
      <c r="F24" s="159">
        <f t="shared" si="7"/>
        <v>7715</v>
      </c>
      <c r="G24" s="159">
        <f t="shared" si="7"/>
        <v>1803801</v>
      </c>
      <c r="H24" s="159">
        <f t="shared" si="7"/>
        <v>1557952</v>
      </c>
      <c r="I24" s="159">
        <f t="shared" si="7"/>
        <v>92051</v>
      </c>
      <c r="J24" s="159">
        <f t="shared" si="7"/>
        <v>3837</v>
      </c>
      <c r="K24" s="159">
        <f t="shared" si="7"/>
        <v>6411</v>
      </c>
      <c r="L24" s="159">
        <f>SUM(L11:L23)</f>
        <v>1660251</v>
      </c>
      <c r="M24" s="159">
        <f t="shared" si="7"/>
        <v>342749440</v>
      </c>
      <c r="N24" s="159">
        <f t="shared" si="7"/>
        <v>20251220</v>
      </c>
      <c r="O24" s="159">
        <f t="shared" si="7"/>
        <v>1158774</v>
      </c>
      <c r="P24" s="159">
        <f t="shared" si="7"/>
        <v>1410420</v>
      </c>
      <c r="Q24" s="159">
        <f>SUM(Q11:Q23)</f>
        <v>365569854</v>
      </c>
    </row>
    <row r="25" spans="1:17" s="87" customFormat="1" x14ac:dyDescent="0.2">
      <c r="A25" s="389"/>
      <c r="B25" s="370"/>
      <c r="C25" s="370"/>
      <c r="D25" s="370"/>
      <c r="E25" s="370"/>
      <c r="F25" s="370"/>
      <c r="G25" s="370"/>
      <c r="H25" s="390"/>
      <c r="I25" s="370"/>
      <c r="J25" s="370"/>
      <c r="K25" s="370"/>
      <c r="L25" s="370"/>
      <c r="M25" s="370"/>
    </row>
    <row r="26" spans="1:17" s="87" customFormat="1" x14ac:dyDescent="0.2">
      <c r="A26" s="389"/>
      <c r="B26" s="370"/>
      <c r="C26" s="370"/>
      <c r="D26" s="370"/>
      <c r="E26" s="370"/>
      <c r="F26" s="370"/>
      <c r="G26" s="370"/>
      <c r="H26" s="390"/>
      <c r="I26" s="370"/>
      <c r="J26" s="370"/>
      <c r="K26" s="370"/>
      <c r="L26" s="370"/>
      <c r="M26" s="370"/>
    </row>
    <row r="27" spans="1:17" s="132" customFormat="1" ht="63" customHeight="1" x14ac:dyDescent="0.2">
      <c r="A27" s="1142" t="s">
        <v>9</v>
      </c>
      <c r="B27" s="1142"/>
      <c r="C27" s="1142"/>
      <c r="D27" s="1142"/>
      <c r="E27" s="381"/>
      <c r="H27" s="391"/>
      <c r="I27" s="382"/>
      <c r="J27" s="382"/>
      <c r="L27" s="381"/>
      <c r="M27" s="1142" t="s">
        <v>646</v>
      </c>
      <c r="N27" s="1142"/>
      <c r="O27" s="1142"/>
      <c r="P27" s="1142"/>
      <c r="Q27" s="1142"/>
    </row>
  </sheetData>
  <mergeCells count="14">
    <mergeCell ref="A24:B24"/>
    <mergeCell ref="A27:D27"/>
    <mergeCell ref="M27:Q27"/>
    <mergeCell ref="O1:Q1"/>
    <mergeCell ref="A2:L2"/>
    <mergeCell ref="A3:L3"/>
    <mergeCell ref="A5:L5"/>
    <mergeCell ref="A8:A9"/>
    <mergeCell ref="B8:B9"/>
    <mergeCell ref="C8:G8"/>
    <mergeCell ref="H8:L8"/>
    <mergeCell ref="M8:Q8"/>
    <mergeCell ref="A7:B7"/>
    <mergeCell ref="N7:Q7"/>
  </mergeCells>
  <phoneticPr fontId="0" type="noConversion"/>
  <printOptions horizontalCentered="1"/>
  <pageMargins left="0.70866141732283472" right="7.874015748031496E-2" top="0.31496062992125984" bottom="0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59999389629810485"/>
  </sheetPr>
  <dimension ref="A1:R27"/>
  <sheetViews>
    <sheetView view="pageBreakPreview" zoomScale="80" zoomScaleSheetLayoutView="80" workbookViewId="0">
      <selection activeCell="T1" sqref="T1:V1048576"/>
    </sheetView>
  </sheetViews>
  <sheetFormatPr defaultColWidth="9.140625" defaultRowHeight="12.75" x14ac:dyDescent="0.2"/>
  <cols>
    <col min="1" max="1" width="7.140625" style="78" customWidth="1"/>
    <col min="2" max="2" width="17.85546875" style="78" customWidth="1"/>
    <col min="3" max="3" width="9.5703125" style="78" customWidth="1"/>
    <col min="4" max="4" width="7.7109375" style="78" customWidth="1"/>
    <col min="5" max="6" width="9.140625" style="78"/>
    <col min="7" max="7" width="10.85546875" style="78" customWidth="1"/>
    <col min="8" max="8" width="10.28515625" style="383" customWidth="1"/>
    <col min="9" max="9" width="8.140625" style="78" customWidth="1"/>
    <col min="10" max="10" width="10.28515625" style="78" customWidth="1"/>
    <col min="11" max="11" width="10.140625" style="78" customWidth="1"/>
    <col min="12" max="12" width="11.7109375" style="78" customWidth="1"/>
    <col min="13" max="13" width="10.5703125" style="78" customWidth="1"/>
    <col min="14" max="14" width="10.140625" style="78" customWidth="1"/>
    <col min="15" max="15" width="8.85546875" style="78" customWidth="1"/>
    <col min="16" max="16" width="9.140625" style="78"/>
    <col min="17" max="17" width="11" style="78" customWidth="1"/>
    <col min="18" max="18" width="9.140625" style="78" hidden="1" customWidth="1"/>
    <col min="19" max="16384" width="9.140625" style="78"/>
  </cols>
  <sheetData>
    <row r="1" spans="1:18" s="87" customFormat="1" ht="12.75" customHeight="1" x14ac:dyDescent="0.2">
      <c r="D1" s="78"/>
      <c r="E1" s="78"/>
      <c r="F1" s="78"/>
      <c r="G1" s="78"/>
      <c r="H1" s="383"/>
      <c r="I1" s="78"/>
      <c r="J1" s="78"/>
      <c r="K1" s="78"/>
      <c r="L1" s="78"/>
      <c r="M1" s="78"/>
      <c r="N1" s="78"/>
      <c r="O1" s="1220" t="s">
        <v>53</v>
      </c>
      <c r="P1" s="1220"/>
      <c r="Q1" s="1220"/>
    </row>
    <row r="2" spans="1:18" s="87" customFormat="1" ht="15.75" x14ac:dyDescent="0.25">
      <c r="A2" s="1148" t="s">
        <v>0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316"/>
      <c r="N2" s="316"/>
      <c r="O2" s="316"/>
      <c r="P2" s="316"/>
    </row>
    <row r="3" spans="1:18" s="87" customFormat="1" ht="20.25" x14ac:dyDescent="0.3">
      <c r="A3" s="1222" t="s">
        <v>793</v>
      </c>
      <c r="B3" s="1222"/>
      <c r="C3" s="1222"/>
      <c r="D3" s="1222"/>
      <c r="E3" s="1222"/>
      <c r="F3" s="1222"/>
      <c r="G3" s="1222"/>
      <c r="H3" s="1222"/>
      <c r="I3" s="1222"/>
      <c r="J3" s="1222"/>
      <c r="K3" s="1222"/>
      <c r="L3" s="1222"/>
      <c r="M3" s="318"/>
      <c r="N3" s="318"/>
      <c r="O3" s="318"/>
      <c r="P3" s="318"/>
    </row>
    <row r="4" spans="1:18" s="87" customFormat="1" ht="11.25" customHeight="1" x14ac:dyDescent="0.2">
      <c r="H4" s="384"/>
    </row>
    <row r="5" spans="1:18" s="87" customFormat="1" ht="15.75" x14ac:dyDescent="0.25">
      <c r="A5" s="1223" t="s">
        <v>810</v>
      </c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78"/>
      <c r="N5" s="78"/>
      <c r="O5" s="78"/>
      <c r="P5" s="78"/>
    </row>
    <row r="7" spans="1:18" ht="12.6" customHeight="1" x14ac:dyDescent="0.2">
      <c r="A7" s="1145" t="s">
        <v>662</v>
      </c>
      <c r="B7" s="1145"/>
      <c r="N7" s="1196" t="s">
        <v>967</v>
      </c>
      <c r="O7" s="1196"/>
      <c r="P7" s="1196"/>
      <c r="Q7" s="1196"/>
      <c r="R7" s="1196"/>
    </row>
    <row r="8" spans="1:18" s="386" customFormat="1" ht="29.45" customHeight="1" x14ac:dyDescent="0.2">
      <c r="A8" s="1224" t="s">
        <v>2</v>
      </c>
      <c r="B8" s="1224" t="s">
        <v>3</v>
      </c>
      <c r="C8" s="1225" t="s">
        <v>808</v>
      </c>
      <c r="D8" s="1225"/>
      <c r="E8" s="1225"/>
      <c r="F8" s="1225"/>
      <c r="G8" s="1225"/>
      <c r="H8" s="1226" t="s">
        <v>809</v>
      </c>
      <c r="I8" s="1225"/>
      <c r="J8" s="1225"/>
      <c r="K8" s="1225"/>
      <c r="L8" s="1225"/>
      <c r="M8" s="1227" t="s">
        <v>102</v>
      </c>
      <c r="N8" s="1228"/>
      <c r="O8" s="1228"/>
      <c r="P8" s="1228"/>
      <c r="Q8" s="1229"/>
    </row>
    <row r="9" spans="1:18" s="386" customFormat="1" ht="66.599999999999994" customHeight="1" x14ac:dyDescent="0.2">
      <c r="A9" s="1224"/>
      <c r="B9" s="1224"/>
      <c r="C9" s="938" t="s">
        <v>961</v>
      </c>
      <c r="D9" s="928" t="s">
        <v>198</v>
      </c>
      <c r="E9" s="928" t="s">
        <v>339</v>
      </c>
      <c r="F9" s="395" t="s">
        <v>203</v>
      </c>
      <c r="G9" s="395" t="s">
        <v>109</v>
      </c>
      <c r="H9" s="928" t="s">
        <v>197</v>
      </c>
      <c r="I9" s="928" t="s">
        <v>198</v>
      </c>
      <c r="J9" s="928" t="s">
        <v>339</v>
      </c>
      <c r="K9" s="928" t="s">
        <v>203</v>
      </c>
      <c r="L9" s="928" t="s">
        <v>110</v>
      </c>
      <c r="M9" s="928" t="s">
        <v>197</v>
      </c>
      <c r="N9" s="928" t="s">
        <v>198</v>
      </c>
      <c r="O9" s="928" t="s">
        <v>339</v>
      </c>
      <c r="P9" s="395" t="s">
        <v>203</v>
      </c>
      <c r="Q9" s="928" t="s">
        <v>111</v>
      </c>
      <c r="R9" s="392"/>
    </row>
    <row r="10" spans="1:18" s="81" customFormat="1" x14ac:dyDescent="0.2">
      <c r="A10" s="306">
        <v>1</v>
      </c>
      <c r="B10" s="306">
        <v>2</v>
      </c>
      <c r="C10" s="306">
        <v>3</v>
      </c>
      <c r="D10" s="306">
        <v>4</v>
      </c>
      <c r="E10" s="306">
        <v>5</v>
      </c>
      <c r="F10" s="304">
        <v>6</v>
      </c>
      <c r="G10" s="306">
        <v>7</v>
      </c>
      <c r="H10" s="306">
        <v>8</v>
      </c>
      <c r="I10" s="306">
        <v>9</v>
      </c>
      <c r="J10" s="306">
        <v>10</v>
      </c>
      <c r="K10" s="306">
        <v>11</v>
      </c>
      <c r="L10" s="306">
        <v>12</v>
      </c>
      <c r="M10" s="306">
        <v>13</v>
      </c>
      <c r="N10" s="927">
        <v>14</v>
      </c>
      <c r="O10" s="926">
        <v>15</v>
      </c>
      <c r="P10" s="306">
        <v>16</v>
      </c>
      <c r="Q10" s="306">
        <v>17</v>
      </c>
    </row>
    <row r="11" spans="1:18" s="378" customFormat="1" ht="27" customHeight="1" x14ac:dyDescent="0.2">
      <c r="A11" s="120">
        <v>1</v>
      </c>
      <c r="B11" s="130" t="s">
        <v>647</v>
      </c>
      <c r="C11" s="728">
        <v>73083</v>
      </c>
      <c r="D11" s="728">
        <v>196</v>
      </c>
      <c r="E11" s="728">
        <v>0</v>
      </c>
      <c r="F11" s="728">
        <v>0</v>
      </c>
      <c r="G11" s="728">
        <v>73279</v>
      </c>
      <c r="H11" s="728">
        <v>62022</v>
      </c>
      <c r="I11" s="728">
        <v>185</v>
      </c>
      <c r="J11" s="728">
        <v>0</v>
      </c>
      <c r="K11" s="728">
        <v>0</v>
      </c>
      <c r="L11" s="728">
        <f>H11+I11+J11+K11</f>
        <v>62207</v>
      </c>
      <c r="M11" s="159">
        <f>H11*220</f>
        <v>13644840</v>
      </c>
      <c r="N11" s="159">
        <f>I11*220</f>
        <v>40700</v>
      </c>
      <c r="O11" s="159">
        <f>J11*302</f>
        <v>0</v>
      </c>
      <c r="P11" s="159">
        <f>K11*220</f>
        <v>0</v>
      </c>
      <c r="Q11" s="159">
        <f t="shared" ref="Q11:Q23" si="0">SUM(M11+N11+O11+P11)</f>
        <v>13685540</v>
      </c>
    </row>
    <row r="12" spans="1:18" s="378" customFormat="1" ht="27" customHeight="1" x14ac:dyDescent="0.2">
      <c r="A12" s="120">
        <v>2</v>
      </c>
      <c r="B12" s="130" t="s">
        <v>648</v>
      </c>
      <c r="C12" s="728">
        <v>58256</v>
      </c>
      <c r="D12" s="728">
        <v>1980</v>
      </c>
      <c r="E12" s="728">
        <v>0</v>
      </c>
      <c r="F12" s="728">
        <v>0</v>
      </c>
      <c r="G12" s="728">
        <v>60236</v>
      </c>
      <c r="H12" s="728">
        <v>58028</v>
      </c>
      <c r="I12" s="728">
        <v>1872</v>
      </c>
      <c r="J12" s="728">
        <v>0</v>
      </c>
      <c r="K12" s="728">
        <v>0</v>
      </c>
      <c r="L12" s="728">
        <f t="shared" ref="L12:L23" si="1">H12+I12+J12+K12</f>
        <v>59900</v>
      </c>
      <c r="M12" s="159">
        <f t="shared" ref="M12:M23" si="2">H12*220</f>
        <v>12766160</v>
      </c>
      <c r="N12" s="159">
        <f t="shared" ref="N12:N23" si="3">I12*220</f>
        <v>411840</v>
      </c>
      <c r="O12" s="159">
        <f t="shared" ref="O12:O23" si="4">J12*302</f>
        <v>0</v>
      </c>
      <c r="P12" s="159">
        <f t="shared" ref="P12:P23" si="5">K12*220</f>
        <v>0</v>
      </c>
      <c r="Q12" s="159">
        <f t="shared" si="0"/>
        <v>13178000</v>
      </c>
    </row>
    <row r="13" spans="1:18" s="378" customFormat="1" ht="27" customHeight="1" x14ac:dyDescent="0.2">
      <c r="A13" s="120">
        <v>3</v>
      </c>
      <c r="B13" s="130" t="s">
        <v>649</v>
      </c>
      <c r="C13" s="728">
        <v>70994</v>
      </c>
      <c r="D13" s="728">
        <v>5840</v>
      </c>
      <c r="E13" s="728">
        <v>0</v>
      </c>
      <c r="F13" s="728">
        <v>137</v>
      </c>
      <c r="G13" s="728">
        <v>76971</v>
      </c>
      <c r="H13" s="728">
        <v>54710</v>
      </c>
      <c r="I13" s="728">
        <v>3767</v>
      </c>
      <c r="J13" s="728">
        <v>0</v>
      </c>
      <c r="K13" s="728">
        <v>120</v>
      </c>
      <c r="L13" s="728">
        <f t="shared" si="1"/>
        <v>58597</v>
      </c>
      <c r="M13" s="159">
        <f t="shared" si="2"/>
        <v>12036200</v>
      </c>
      <c r="N13" s="159">
        <f t="shared" si="3"/>
        <v>828740</v>
      </c>
      <c r="O13" s="159">
        <f t="shared" si="4"/>
        <v>0</v>
      </c>
      <c r="P13" s="159">
        <f t="shared" si="5"/>
        <v>26400</v>
      </c>
      <c r="Q13" s="159">
        <f t="shared" si="0"/>
        <v>12891340</v>
      </c>
    </row>
    <row r="14" spans="1:18" s="378" customFormat="1" ht="27" customHeight="1" x14ac:dyDescent="0.2">
      <c r="A14" s="120">
        <v>4</v>
      </c>
      <c r="B14" s="130" t="s">
        <v>650</v>
      </c>
      <c r="C14" s="728">
        <v>126400</v>
      </c>
      <c r="D14" s="728">
        <v>7846</v>
      </c>
      <c r="E14" s="728">
        <v>0</v>
      </c>
      <c r="F14" s="728">
        <v>0</v>
      </c>
      <c r="G14" s="728">
        <v>134246</v>
      </c>
      <c r="H14" s="728">
        <v>102756</v>
      </c>
      <c r="I14" s="728">
        <v>7607</v>
      </c>
      <c r="J14" s="728">
        <v>0</v>
      </c>
      <c r="K14" s="728">
        <v>0</v>
      </c>
      <c r="L14" s="728">
        <f t="shared" si="1"/>
        <v>110363</v>
      </c>
      <c r="M14" s="159">
        <f t="shared" si="2"/>
        <v>22606320</v>
      </c>
      <c r="N14" s="159">
        <f t="shared" si="3"/>
        <v>1673540</v>
      </c>
      <c r="O14" s="159">
        <f t="shared" si="4"/>
        <v>0</v>
      </c>
      <c r="P14" s="159">
        <f t="shared" si="5"/>
        <v>0</v>
      </c>
      <c r="Q14" s="159">
        <f t="shared" si="0"/>
        <v>24279860</v>
      </c>
    </row>
    <row r="15" spans="1:18" s="378" customFormat="1" ht="27" customHeight="1" x14ac:dyDescent="0.2">
      <c r="A15" s="120">
        <v>5</v>
      </c>
      <c r="B15" s="130" t="s">
        <v>651</v>
      </c>
      <c r="C15" s="728">
        <v>92179</v>
      </c>
      <c r="D15" s="728">
        <v>5491</v>
      </c>
      <c r="E15" s="728">
        <v>0</v>
      </c>
      <c r="F15" s="728">
        <v>0</v>
      </c>
      <c r="G15" s="728">
        <v>97670</v>
      </c>
      <c r="H15" s="728">
        <v>84050</v>
      </c>
      <c r="I15" s="728">
        <v>4821</v>
      </c>
      <c r="J15" s="728">
        <v>0</v>
      </c>
      <c r="K15" s="728">
        <v>0</v>
      </c>
      <c r="L15" s="728">
        <f t="shared" si="1"/>
        <v>88871</v>
      </c>
      <c r="M15" s="159">
        <f t="shared" si="2"/>
        <v>18491000</v>
      </c>
      <c r="N15" s="159">
        <f t="shared" si="3"/>
        <v>1060620</v>
      </c>
      <c r="O15" s="159">
        <f t="shared" si="4"/>
        <v>0</v>
      </c>
      <c r="P15" s="159">
        <f t="shared" si="5"/>
        <v>0</v>
      </c>
      <c r="Q15" s="159">
        <f t="shared" si="0"/>
        <v>19551620</v>
      </c>
    </row>
    <row r="16" spans="1:18" s="378" customFormat="1" ht="27" customHeight="1" x14ac:dyDescent="0.2">
      <c r="A16" s="120">
        <v>6</v>
      </c>
      <c r="B16" s="130" t="s">
        <v>652</v>
      </c>
      <c r="C16" s="728">
        <v>73127</v>
      </c>
      <c r="D16" s="728">
        <v>9961</v>
      </c>
      <c r="E16" s="728">
        <v>0</v>
      </c>
      <c r="F16" s="728">
        <v>354</v>
      </c>
      <c r="G16" s="728">
        <v>83442</v>
      </c>
      <c r="H16" s="728">
        <f>50947-300</f>
        <v>50647</v>
      </c>
      <c r="I16" s="728">
        <v>8780</v>
      </c>
      <c r="J16" s="728">
        <v>0</v>
      </c>
      <c r="K16" s="728">
        <v>298</v>
      </c>
      <c r="L16" s="728">
        <f t="shared" si="1"/>
        <v>59725</v>
      </c>
      <c r="M16" s="159">
        <f t="shared" si="2"/>
        <v>11142340</v>
      </c>
      <c r="N16" s="159">
        <f t="shared" si="3"/>
        <v>1931600</v>
      </c>
      <c r="O16" s="159">
        <f t="shared" si="4"/>
        <v>0</v>
      </c>
      <c r="P16" s="159">
        <f t="shared" si="5"/>
        <v>65560</v>
      </c>
      <c r="Q16" s="159">
        <f t="shared" si="0"/>
        <v>13139500</v>
      </c>
    </row>
    <row r="17" spans="1:17" s="378" customFormat="1" ht="27" customHeight="1" x14ac:dyDescent="0.2">
      <c r="A17" s="120">
        <v>7</v>
      </c>
      <c r="B17" s="130" t="s">
        <v>653</v>
      </c>
      <c r="C17" s="728">
        <v>89192</v>
      </c>
      <c r="D17" s="728">
        <v>12592</v>
      </c>
      <c r="E17" s="728">
        <v>0</v>
      </c>
      <c r="F17" s="728">
        <v>457</v>
      </c>
      <c r="G17" s="728">
        <v>102241</v>
      </c>
      <c r="H17" s="728">
        <v>70317</v>
      </c>
      <c r="I17" s="728">
        <v>10210</v>
      </c>
      <c r="J17" s="728">
        <v>0</v>
      </c>
      <c r="K17" s="728">
        <v>371</v>
      </c>
      <c r="L17" s="728">
        <f t="shared" si="1"/>
        <v>80898</v>
      </c>
      <c r="M17" s="159">
        <f t="shared" si="2"/>
        <v>15469740</v>
      </c>
      <c r="N17" s="159">
        <f t="shared" si="3"/>
        <v>2246200</v>
      </c>
      <c r="O17" s="159">
        <f t="shared" si="4"/>
        <v>0</v>
      </c>
      <c r="P17" s="159">
        <f t="shared" si="5"/>
        <v>81620</v>
      </c>
      <c r="Q17" s="159">
        <f t="shared" si="0"/>
        <v>17797560</v>
      </c>
    </row>
    <row r="18" spans="1:17" s="378" customFormat="1" ht="27" customHeight="1" x14ac:dyDescent="0.2">
      <c r="A18" s="120">
        <v>8</v>
      </c>
      <c r="B18" s="130" t="s">
        <v>654</v>
      </c>
      <c r="C18" s="728">
        <v>74039</v>
      </c>
      <c r="D18" s="728">
        <v>5643</v>
      </c>
      <c r="E18" s="728">
        <v>0</v>
      </c>
      <c r="F18" s="728">
        <v>79</v>
      </c>
      <c r="G18" s="728">
        <v>79761</v>
      </c>
      <c r="H18" s="728">
        <v>48091</v>
      </c>
      <c r="I18" s="728">
        <v>3994</v>
      </c>
      <c r="J18" s="728">
        <v>0</v>
      </c>
      <c r="K18" s="728">
        <v>46</v>
      </c>
      <c r="L18" s="728">
        <f t="shared" si="1"/>
        <v>52131</v>
      </c>
      <c r="M18" s="159">
        <f t="shared" si="2"/>
        <v>10580020</v>
      </c>
      <c r="N18" s="159">
        <f t="shared" si="3"/>
        <v>878680</v>
      </c>
      <c r="O18" s="159">
        <f t="shared" si="4"/>
        <v>0</v>
      </c>
      <c r="P18" s="159">
        <f t="shared" si="5"/>
        <v>10120</v>
      </c>
      <c r="Q18" s="159">
        <f t="shared" si="0"/>
        <v>11468820</v>
      </c>
    </row>
    <row r="19" spans="1:17" s="378" customFormat="1" ht="27" customHeight="1" x14ac:dyDescent="0.2">
      <c r="A19" s="120">
        <v>9</v>
      </c>
      <c r="B19" s="130" t="s">
        <v>655</v>
      </c>
      <c r="C19" s="728">
        <v>63533</v>
      </c>
      <c r="D19" s="728">
        <v>2950</v>
      </c>
      <c r="E19" s="728">
        <v>0</v>
      </c>
      <c r="F19" s="728">
        <v>103</v>
      </c>
      <c r="G19" s="728">
        <v>66586</v>
      </c>
      <c r="H19" s="728">
        <f>52086-90</f>
        <v>51996</v>
      </c>
      <c r="I19" s="728">
        <v>2552</v>
      </c>
      <c r="J19" s="728">
        <v>0</v>
      </c>
      <c r="K19" s="728">
        <v>90</v>
      </c>
      <c r="L19" s="728">
        <f t="shared" si="1"/>
        <v>54638</v>
      </c>
      <c r="M19" s="159">
        <f t="shared" si="2"/>
        <v>11439120</v>
      </c>
      <c r="N19" s="159">
        <f t="shared" si="3"/>
        <v>561440</v>
      </c>
      <c r="O19" s="159">
        <f t="shared" si="4"/>
        <v>0</v>
      </c>
      <c r="P19" s="159">
        <f t="shared" si="5"/>
        <v>19800</v>
      </c>
      <c r="Q19" s="159">
        <f t="shared" si="0"/>
        <v>12020360</v>
      </c>
    </row>
    <row r="20" spans="1:17" s="378" customFormat="1" ht="27" customHeight="1" x14ac:dyDescent="0.2">
      <c r="A20" s="120">
        <v>10</v>
      </c>
      <c r="B20" s="130" t="s">
        <v>656</v>
      </c>
      <c r="C20" s="535">
        <v>101616</v>
      </c>
      <c r="D20" s="535">
        <v>2882</v>
      </c>
      <c r="E20" s="535">
        <v>0</v>
      </c>
      <c r="F20" s="531">
        <v>412</v>
      </c>
      <c r="G20" s="728">
        <v>104910</v>
      </c>
      <c r="H20" s="535">
        <f>75462+112-360</f>
        <v>75214</v>
      </c>
      <c r="I20" s="535">
        <v>2058</v>
      </c>
      <c r="J20" s="535">
        <v>0</v>
      </c>
      <c r="K20" s="535">
        <v>360</v>
      </c>
      <c r="L20" s="728">
        <f t="shared" si="1"/>
        <v>77632</v>
      </c>
      <c r="M20" s="159">
        <f t="shared" si="2"/>
        <v>16547080</v>
      </c>
      <c r="N20" s="159">
        <f t="shared" si="3"/>
        <v>452760</v>
      </c>
      <c r="O20" s="159">
        <f t="shared" si="4"/>
        <v>0</v>
      </c>
      <c r="P20" s="159">
        <f t="shared" si="5"/>
        <v>79200</v>
      </c>
      <c r="Q20" s="159">
        <f t="shared" si="0"/>
        <v>17079040</v>
      </c>
    </row>
    <row r="21" spans="1:17" s="378" customFormat="1" ht="27" customHeight="1" x14ac:dyDescent="0.2">
      <c r="A21" s="120">
        <v>11</v>
      </c>
      <c r="B21" s="130" t="s">
        <v>657</v>
      </c>
      <c r="C21" s="728">
        <v>56202</v>
      </c>
      <c r="D21" s="728">
        <v>5158</v>
      </c>
      <c r="E21" s="728">
        <v>0</v>
      </c>
      <c r="F21" s="728">
        <v>0</v>
      </c>
      <c r="G21" s="728">
        <v>61360</v>
      </c>
      <c r="H21" s="728">
        <v>55253</v>
      </c>
      <c r="I21" s="728">
        <v>4874</v>
      </c>
      <c r="J21" s="728">
        <v>0</v>
      </c>
      <c r="K21" s="728">
        <v>0</v>
      </c>
      <c r="L21" s="728">
        <f t="shared" si="1"/>
        <v>60127</v>
      </c>
      <c r="M21" s="159">
        <f t="shared" si="2"/>
        <v>12155660</v>
      </c>
      <c r="N21" s="159">
        <f t="shared" si="3"/>
        <v>1072280</v>
      </c>
      <c r="O21" s="159">
        <f t="shared" si="4"/>
        <v>0</v>
      </c>
      <c r="P21" s="159">
        <f t="shared" si="5"/>
        <v>0</v>
      </c>
      <c r="Q21" s="159">
        <f t="shared" si="0"/>
        <v>13227940</v>
      </c>
    </row>
    <row r="22" spans="1:17" s="378" customFormat="1" ht="27" customHeight="1" x14ac:dyDescent="0.2">
      <c r="A22" s="120">
        <v>12</v>
      </c>
      <c r="B22" s="130" t="s">
        <v>658</v>
      </c>
      <c r="C22" s="728">
        <v>100931</v>
      </c>
      <c r="D22" s="728">
        <v>1982</v>
      </c>
      <c r="E22" s="728">
        <v>0</v>
      </c>
      <c r="F22" s="728">
        <v>342</v>
      </c>
      <c r="G22" s="728">
        <v>103255</v>
      </c>
      <c r="H22" s="728">
        <f>90394-179</f>
        <v>90215</v>
      </c>
      <c r="I22" s="728">
        <v>1437</v>
      </c>
      <c r="J22" s="728">
        <v>0</v>
      </c>
      <c r="K22" s="728">
        <v>260</v>
      </c>
      <c r="L22" s="728">
        <f t="shared" si="1"/>
        <v>91912</v>
      </c>
      <c r="M22" s="159">
        <f t="shared" si="2"/>
        <v>19847300</v>
      </c>
      <c r="N22" s="159">
        <f t="shared" si="3"/>
        <v>316140</v>
      </c>
      <c r="O22" s="159">
        <f t="shared" si="4"/>
        <v>0</v>
      </c>
      <c r="P22" s="159">
        <f t="shared" si="5"/>
        <v>57200</v>
      </c>
      <c r="Q22" s="159">
        <f t="shared" si="0"/>
        <v>20220640</v>
      </c>
    </row>
    <row r="23" spans="1:17" s="378" customFormat="1" ht="27" customHeight="1" x14ac:dyDescent="0.2">
      <c r="A23" s="120">
        <v>13</v>
      </c>
      <c r="B23" s="130" t="s">
        <v>659</v>
      </c>
      <c r="C23" s="728">
        <v>107864</v>
      </c>
      <c r="D23" s="728">
        <v>6236</v>
      </c>
      <c r="E23" s="728">
        <v>0</v>
      </c>
      <c r="F23" s="728">
        <v>383</v>
      </c>
      <c r="G23" s="728">
        <v>114483</v>
      </c>
      <c r="H23" s="728">
        <v>101148</v>
      </c>
      <c r="I23" s="728">
        <v>5240</v>
      </c>
      <c r="J23" s="728">
        <v>0</v>
      </c>
      <c r="K23" s="728">
        <v>371</v>
      </c>
      <c r="L23" s="728">
        <f t="shared" si="1"/>
        <v>106759</v>
      </c>
      <c r="M23" s="159">
        <f t="shared" si="2"/>
        <v>22252560</v>
      </c>
      <c r="N23" s="159">
        <f t="shared" si="3"/>
        <v>1152800</v>
      </c>
      <c r="O23" s="159">
        <f t="shared" si="4"/>
        <v>0</v>
      </c>
      <c r="P23" s="159">
        <f t="shared" si="5"/>
        <v>81620</v>
      </c>
      <c r="Q23" s="159">
        <f t="shared" si="0"/>
        <v>23486980</v>
      </c>
    </row>
    <row r="24" spans="1:17" s="379" customFormat="1" ht="27" customHeight="1" x14ac:dyDescent="0.25">
      <c r="A24" s="1219" t="s">
        <v>660</v>
      </c>
      <c r="B24" s="1219"/>
      <c r="C24" s="968">
        <f>SUM(C11:C23)</f>
        <v>1087416</v>
      </c>
      <c r="D24" s="968">
        <f t="shared" ref="D24:P24" si="6">SUM(D11:D23)</f>
        <v>68757</v>
      </c>
      <c r="E24" s="968">
        <f t="shared" si="6"/>
        <v>0</v>
      </c>
      <c r="F24" s="968">
        <f t="shared" si="6"/>
        <v>2267</v>
      </c>
      <c r="G24" s="968">
        <f t="shared" si="6"/>
        <v>1158440</v>
      </c>
      <c r="H24" s="968">
        <f t="shared" si="6"/>
        <v>904447</v>
      </c>
      <c r="I24" s="968">
        <f t="shared" si="6"/>
        <v>57397</v>
      </c>
      <c r="J24" s="968">
        <f t="shared" si="6"/>
        <v>0</v>
      </c>
      <c r="K24" s="968">
        <f>SUM(K11:K23)</f>
        <v>1916</v>
      </c>
      <c r="L24" s="968">
        <f>SUM(L11:L23)</f>
        <v>963760</v>
      </c>
      <c r="M24" s="968">
        <f t="shared" si="6"/>
        <v>198978340</v>
      </c>
      <c r="N24" s="968">
        <f t="shared" si="6"/>
        <v>12627340</v>
      </c>
      <c r="O24" s="968">
        <f>SUM(O11:O23)</f>
        <v>0</v>
      </c>
      <c r="P24" s="968">
        <f t="shared" si="6"/>
        <v>421520</v>
      </c>
      <c r="Q24" s="968">
        <f>SUM(Q11:Q23)</f>
        <v>212027200</v>
      </c>
    </row>
    <row r="25" spans="1:17" s="87" customFormat="1" x14ac:dyDescent="0.2">
      <c r="A25" s="389"/>
      <c r="B25" s="370"/>
      <c r="C25" s="370"/>
      <c r="D25" s="370"/>
      <c r="E25" s="370"/>
      <c r="F25" s="370"/>
      <c r="G25" s="370"/>
      <c r="H25" s="390"/>
      <c r="I25" s="370"/>
      <c r="J25" s="370"/>
      <c r="K25" s="370"/>
      <c r="L25" s="370"/>
      <c r="M25" s="370"/>
    </row>
    <row r="26" spans="1:17" s="87" customFormat="1" x14ac:dyDescent="0.2">
      <c r="A26" s="389"/>
      <c r="B26" s="370"/>
      <c r="C26" s="370"/>
      <c r="D26" s="370"/>
      <c r="E26" s="370"/>
      <c r="F26" s="370"/>
      <c r="G26" s="370"/>
      <c r="H26" s="390"/>
      <c r="I26" s="370"/>
      <c r="J26" s="370"/>
      <c r="K26" s="370"/>
      <c r="L26" s="370"/>
      <c r="M26" s="370"/>
    </row>
    <row r="27" spans="1:17" s="132" customFormat="1" ht="63" customHeight="1" x14ac:dyDescent="0.2">
      <c r="A27" s="1142" t="s">
        <v>9</v>
      </c>
      <c r="B27" s="1142"/>
      <c r="C27" s="1142"/>
      <c r="D27" s="1142"/>
      <c r="E27" s="381"/>
      <c r="H27" s="391"/>
      <c r="I27" s="382"/>
      <c r="J27" s="382"/>
      <c r="L27" s="381"/>
      <c r="M27" s="1142" t="s">
        <v>646</v>
      </c>
      <c r="N27" s="1142"/>
      <c r="O27" s="1142"/>
      <c r="P27" s="1142"/>
      <c r="Q27" s="1142"/>
    </row>
  </sheetData>
  <mergeCells count="14">
    <mergeCell ref="A24:B24"/>
    <mergeCell ref="A27:D27"/>
    <mergeCell ref="M27:Q27"/>
    <mergeCell ref="O1:Q1"/>
    <mergeCell ref="A2:L2"/>
    <mergeCell ref="A3:L3"/>
    <mergeCell ref="A5:L5"/>
    <mergeCell ref="M8:Q8"/>
    <mergeCell ref="A8:A9"/>
    <mergeCell ref="B8:B9"/>
    <mergeCell ref="A7:B7"/>
    <mergeCell ref="N7:R7"/>
    <mergeCell ref="C8:G8"/>
    <mergeCell ref="H8:L8"/>
  </mergeCells>
  <phoneticPr fontId="0" type="noConversion"/>
  <printOptions horizontalCentered="1"/>
  <pageMargins left="0.70866141732283472" right="7.874015748031496E-2" top="0.31496062992125984" bottom="0.19685039370078741" header="7.874015748031496E-2" footer="7.874015748031496E-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59999389629810485"/>
  </sheetPr>
  <dimension ref="A1:I25"/>
  <sheetViews>
    <sheetView view="pageBreakPreview" topLeftCell="A15" zoomScaleSheetLayoutView="100" workbookViewId="0">
      <selection activeCell="C33" sqref="C33"/>
    </sheetView>
  </sheetViews>
  <sheetFormatPr defaultColWidth="9.140625" defaultRowHeight="12.75" x14ac:dyDescent="0.2"/>
  <cols>
    <col min="1" max="1" width="7.7109375" style="183" customWidth="1"/>
    <col min="2" max="2" width="15.5703125" style="183" customWidth="1"/>
    <col min="3" max="3" width="17.28515625" style="183" customWidth="1"/>
    <col min="4" max="4" width="19" style="183" customWidth="1"/>
    <col min="5" max="5" width="19.7109375" style="183" customWidth="1"/>
    <col min="6" max="6" width="19" style="183" customWidth="1"/>
    <col min="7" max="7" width="15.28515625" style="183" customWidth="1"/>
    <col min="8" max="16384" width="9.140625" style="183"/>
  </cols>
  <sheetData>
    <row r="1" spans="1:7" ht="18" x14ac:dyDescent="0.35">
      <c r="A1" s="1232" t="s">
        <v>0</v>
      </c>
      <c r="B1" s="1232"/>
      <c r="C1" s="1232"/>
      <c r="D1" s="1232"/>
      <c r="E1" s="1232"/>
      <c r="G1" s="810" t="s">
        <v>887</v>
      </c>
    </row>
    <row r="2" spans="1:7" ht="21" x14ac:dyDescent="0.35">
      <c r="A2" s="1233" t="s">
        <v>793</v>
      </c>
      <c r="B2" s="1233"/>
      <c r="C2" s="1233"/>
      <c r="D2" s="1233"/>
      <c r="E2" s="1233"/>
      <c r="F2" s="1233"/>
    </row>
    <row r="3" spans="1:7" ht="15" x14ac:dyDescent="0.3">
      <c r="A3" s="811"/>
      <c r="B3" s="811"/>
    </row>
    <row r="4" spans="1:7" ht="18" customHeight="1" x14ac:dyDescent="0.35">
      <c r="A4" s="1234" t="s">
        <v>888</v>
      </c>
      <c r="B4" s="1234"/>
      <c r="C4" s="1234"/>
      <c r="D4" s="1234"/>
      <c r="E4" s="1234"/>
      <c r="F4" s="1234"/>
    </row>
    <row r="5" spans="1:7" x14ac:dyDescent="0.2">
      <c r="A5" s="1145" t="s">
        <v>662</v>
      </c>
      <c r="B5" s="1145"/>
    </row>
    <row r="6" spans="1:7" ht="15" x14ac:dyDescent="0.3">
      <c r="A6" s="831"/>
      <c r="B6" s="831"/>
      <c r="F6" s="1235" t="s">
        <v>967</v>
      </c>
      <c r="G6" s="1235"/>
    </row>
    <row r="7" spans="1:7" s="836" customFormat="1" ht="47.25" customHeight="1" x14ac:dyDescent="0.2">
      <c r="A7" s="834" t="s">
        <v>2</v>
      </c>
      <c r="B7" s="834" t="s">
        <v>3</v>
      </c>
      <c r="C7" s="814" t="s">
        <v>889</v>
      </c>
      <c r="D7" s="814" t="s">
        <v>890</v>
      </c>
      <c r="E7" s="814" t="s">
        <v>891</v>
      </c>
      <c r="F7" s="814" t="s">
        <v>892</v>
      </c>
      <c r="G7" s="835" t="s">
        <v>893</v>
      </c>
    </row>
    <row r="8" spans="1:7" s="810" customFormat="1" ht="15" x14ac:dyDescent="0.25">
      <c r="A8" s="812" t="s">
        <v>248</v>
      </c>
      <c r="B8" s="812" t="s">
        <v>249</v>
      </c>
      <c r="C8" s="812" t="s">
        <v>250</v>
      </c>
      <c r="D8" s="812" t="s">
        <v>251</v>
      </c>
      <c r="E8" s="812" t="s">
        <v>252</v>
      </c>
      <c r="F8" s="812" t="s">
        <v>253</v>
      </c>
      <c r="G8" s="812" t="s">
        <v>254</v>
      </c>
    </row>
    <row r="9" spans="1:7" customFormat="1" ht="21.75" customHeight="1" x14ac:dyDescent="0.2">
      <c r="A9" s="120">
        <v>1</v>
      </c>
      <c r="B9" s="130" t="s">
        <v>647</v>
      </c>
      <c r="C9" s="544">
        <v>228600</v>
      </c>
      <c r="D9" s="544">
        <v>228097</v>
      </c>
      <c r="E9" s="544">
        <v>459</v>
      </c>
      <c r="F9" s="544">
        <v>44</v>
      </c>
      <c r="G9" s="116"/>
    </row>
    <row r="10" spans="1:7" customFormat="1" ht="21.75" customHeight="1" x14ac:dyDescent="0.2">
      <c r="A10" s="120">
        <v>2</v>
      </c>
      <c r="B10" s="130" t="s">
        <v>648</v>
      </c>
      <c r="C10" s="544">
        <v>182734</v>
      </c>
      <c r="D10" s="544">
        <v>182199</v>
      </c>
      <c r="E10" s="544">
        <v>506</v>
      </c>
      <c r="F10" s="544">
        <v>29</v>
      </c>
      <c r="G10" s="116"/>
    </row>
    <row r="11" spans="1:7" customFormat="1" ht="21.75" customHeight="1" x14ac:dyDescent="0.2">
      <c r="A11" s="120">
        <v>3</v>
      </c>
      <c r="B11" s="130" t="s">
        <v>649</v>
      </c>
      <c r="C11" s="544">
        <v>258377</v>
      </c>
      <c r="D11" s="544">
        <v>256603</v>
      </c>
      <c r="E11" s="544">
        <v>1708</v>
      </c>
      <c r="F11" s="544">
        <v>66</v>
      </c>
      <c r="G11" s="116"/>
    </row>
    <row r="12" spans="1:7" customFormat="1" ht="21.75" customHeight="1" x14ac:dyDescent="0.2">
      <c r="A12" s="120">
        <v>4</v>
      </c>
      <c r="B12" s="130" t="s">
        <v>650</v>
      </c>
      <c r="C12" s="544">
        <v>385245</v>
      </c>
      <c r="D12" s="544">
        <v>383500</v>
      </c>
      <c r="E12" s="544">
        <v>1694</v>
      </c>
      <c r="F12" s="544">
        <v>51</v>
      </c>
      <c r="G12" s="116"/>
    </row>
    <row r="13" spans="1:7" customFormat="1" ht="21.75" customHeight="1" x14ac:dyDescent="0.2">
      <c r="A13" s="120">
        <v>5</v>
      </c>
      <c r="B13" s="130" t="s">
        <v>651</v>
      </c>
      <c r="C13" s="544">
        <v>280448</v>
      </c>
      <c r="D13" s="544">
        <v>279904</v>
      </c>
      <c r="E13" s="544">
        <v>518</v>
      </c>
      <c r="F13" s="544">
        <v>26</v>
      </c>
      <c r="G13" s="116"/>
    </row>
    <row r="14" spans="1:7" customFormat="1" ht="21.75" customHeight="1" x14ac:dyDescent="0.2">
      <c r="A14" s="120">
        <v>6</v>
      </c>
      <c r="B14" s="130" t="s">
        <v>652</v>
      </c>
      <c r="C14" s="544">
        <v>252429</v>
      </c>
      <c r="D14" s="544">
        <v>251223</v>
      </c>
      <c r="E14" s="544">
        <v>1142</v>
      </c>
      <c r="F14" s="544">
        <v>64</v>
      </c>
      <c r="G14" s="116"/>
    </row>
    <row r="15" spans="1:7" customFormat="1" ht="21.75" customHeight="1" x14ac:dyDescent="0.2">
      <c r="A15" s="120">
        <v>7</v>
      </c>
      <c r="B15" s="130" t="s">
        <v>653</v>
      </c>
      <c r="C15" s="544">
        <v>318723</v>
      </c>
      <c r="D15" s="544">
        <v>316805</v>
      </c>
      <c r="E15" s="544">
        <v>1862</v>
      </c>
      <c r="F15" s="544">
        <v>56</v>
      </c>
      <c r="G15" s="116"/>
    </row>
    <row r="16" spans="1:7" customFormat="1" ht="21.75" customHeight="1" x14ac:dyDescent="0.2">
      <c r="A16" s="120">
        <v>8</v>
      </c>
      <c r="B16" s="130" t="s">
        <v>654</v>
      </c>
      <c r="C16" s="544">
        <v>276236</v>
      </c>
      <c r="D16" s="544">
        <v>274491</v>
      </c>
      <c r="E16" s="544">
        <v>1685</v>
      </c>
      <c r="F16" s="544">
        <v>60</v>
      </c>
      <c r="G16" s="116"/>
    </row>
    <row r="17" spans="1:9" customFormat="1" ht="21.75" customHeight="1" x14ac:dyDescent="0.2">
      <c r="A17" s="120">
        <v>9</v>
      </c>
      <c r="B17" s="130" t="s">
        <v>655</v>
      </c>
      <c r="C17" s="287">
        <v>217053</v>
      </c>
      <c r="D17" s="287">
        <v>214815</v>
      </c>
      <c r="E17" s="287">
        <v>1826</v>
      </c>
      <c r="F17" s="287">
        <v>412</v>
      </c>
      <c r="G17" s="116"/>
      <c r="H17" s="931"/>
    </row>
    <row r="18" spans="1:9" customFormat="1" ht="21.75" customHeight="1" x14ac:dyDescent="0.2">
      <c r="A18" s="120">
        <v>10</v>
      </c>
      <c r="B18" s="130" t="s">
        <v>656</v>
      </c>
      <c r="C18" s="287">
        <v>322968</v>
      </c>
      <c r="D18" s="287">
        <v>321141</v>
      </c>
      <c r="E18" s="287">
        <v>1775</v>
      </c>
      <c r="F18" s="287">
        <v>52</v>
      </c>
      <c r="G18" s="116"/>
    </row>
    <row r="19" spans="1:9" customFormat="1" ht="21.75" customHeight="1" x14ac:dyDescent="0.2">
      <c r="A19" s="120">
        <v>11</v>
      </c>
      <c r="B19" s="130" t="s">
        <v>657</v>
      </c>
      <c r="C19" s="287">
        <v>213713</v>
      </c>
      <c r="D19" s="287">
        <v>211882</v>
      </c>
      <c r="E19" s="287">
        <v>1745</v>
      </c>
      <c r="F19" s="287">
        <v>86</v>
      </c>
      <c r="G19" s="116"/>
    </row>
    <row r="20" spans="1:9" customFormat="1" ht="21.75" customHeight="1" x14ac:dyDescent="0.2">
      <c r="A20" s="120">
        <v>12</v>
      </c>
      <c r="B20" s="130" t="s">
        <v>658</v>
      </c>
      <c r="C20" s="929">
        <v>324446</v>
      </c>
      <c r="D20" s="929">
        <v>323779</v>
      </c>
      <c r="E20" s="930">
        <v>626</v>
      </c>
      <c r="F20" s="930">
        <v>41</v>
      </c>
      <c r="G20" s="833"/>
      <c r="H20" s="832"/>
      <c r="I20" s="832"/>
    </row>
    <row r="21" spans="1:9" customFormat="1" ht="21.75" customHeight="1" x14ac:dyDescent="0.2">
      <c r="A21" s="120">
        <v>13</v>
      </c>
      <c r="B21" s="130" t="s">
        <v>659</v>
      </c>
      <c r="C21" s="929">
        <v>383983</v>
      </c>
      <c r="D21" s="929">
        <v>382691</v>
      </c>
      <c r="E21" s="930">
        <v>1222</v>
      </c>
      <c r="F21" s="930">
        <v>70</v>
      </c>
      <c r="G21" s="833"/>
      <c r="H21" s="832"/>
      <c r="I21" s="832"/>
    </row>
    <row r="22" spans="1:9" customFormat="1" ht="27.75" customHeight="1" x14ac:dyDescent="0.2">
      <c r="A22" s="1219" t="s">
        <v>660</v>
      </c>
      <c r="B22" s="1219"/>
      <c r="C22" s="837">
        <f>SUM(C9:C21)</f>
        <v>3644955</v>
      </c>
      <c r="D22" s="837">
        <f t="shared" ref="D22:G22" si="0">SUM(D9:D21)</f>
        <v>3627130</v>
      </c>
      <c r="E22" s="837">
        <f t="shared" si="0"/>
        <v>16768</v>
      </c>
      <c r="F22" s="837">
        <f t="shared" si="0"/>
        <v>1057</v>
      </c>
      <c r="G22" s="837">
        <f t="shared" si="0"/>
        <v>0</v>
      </c>
      <c r="H22" s="832"/>
      <c r="I22" s="832"/>
    </row>
    <row r="23" spans="1:9" x14ac:dyDescent="0.2">
      <c r="B23" s="248" t="s">
        <v>1000</v>
      </c>
    </row>
    <row r="25" spans="1:9" s="789" customFormat="1" ht="57.75" customHeight="1" x14ac:dyDescent="0.2">
      <c r="A25" s="1230" t="s">
        <v>676</v>
      </c>
      <c r="B25" s="1230"/>
      <c r="C25" s="397"/>
      <c r="D25" s="398"/>
      <c r="E25" s="398"/>
      <c r="F25" s="1231" t="s">
        <v>646</v>
      </c>
      <c r="G25" s="1231"/>
      <c r="H25" s="788"/>
    </row>
  </sheetData>
  <mergeCells count="8">
    <mergeCell ref="A22:B22"/>
    <mergeCell ref="A25:B25"/>
    <mergeCell ref="F25:G25"/>
    <mergeCell ref="A5:B5"/>
    <mergeCell ref="A1:E1"/>
    <mergeCell ref="A2:F2"/>
    <mergeCell ref="A4:F4"/>
    <mergeCell ref="F6:G6"/>
  </mergeCells>
  <printOptions horizontalCentered="1"/>
  <pageMargins left="0.59055118110236227" right="7.874015748031496E-2" top="0.19685039370078741" bottom="0.19685039370078741" header="7.874015748031496E-2" footer="7.874015748031496E-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 tint="0.59999389629810485"/>
  </sheetPr>
  <dimension ref="A1:R31"/>
  <sheetViews>
    <sheetView view="pageBreakPreview" topLeftCell="F7" zoomScale="90" zoomScaleSheetLayoutView="90" workbookViewId="0">
      <selection activeCell="T7" sqref="T1:AD1048576"/>
    </sheetView>
  </sheetViews>
  <sheetFormatPr defaultColWidth="9.140625" defaultRowHeight="12.75" x14ac:dyDescent="0.2"/>
  <cols>
    <col min="1" max="1" width="7.42578125" style="293" customWidth="1"/>
    <col min="2" max="2" width="17.140625" style="293" customWidth="1"/>
    <col min="3" max="3" width="11" style="293" customWidth="1"/>
    <col min="4" max="4" width="10" style="293" customWidth="1"/>
    <col min="5" max="5" width="13.140625" style="293" customWidth="1"/>
    <col min="6" max="6" width="14.28515625" style="293" customWidth="1"/>
    <col min="7" max="7" width="13.28515625" style="293" customWidth="1"/>
    <col min="8" max="8" width="14.7109375" style="293" customWidth="1"/>
    <col min="9" max="9" width="15.5703125" style="293" customWidth="1"/>
    <col min="10" max="10" width="19.28515625" style="293" customWidth="1"/>
    <col min="11" max="18" width="0" style="293" hidden="1" customWidth="1"/>
    <col min="19" max="16384" width="9.140625" style="293"/>
  </cols>
  <sheetData>
    <row r="1" spans="1:18" s="132" customFormat="1" x14ac:dyDescent="0.2">
      <c r="E1" s="1236"/>
      <c r="F1" s="1236"/>
      <c r="G1" s="1236"/>
      <c r="H1" s="1236"/>
      <c r="I1" s="1236"/>
      <c r="J1" s="133" t="s">
        <v>54</v>
      </c>
    </row>
    <row r="2" spans="1:18" s="132" customFormat="1" ht="15" x14ac:dyDescent="0.2">
      <c r="A2" s="1237" t="s">
        <v>0</v>
      </c>
      <c r="B2" s="1237"/>
      <c r="C2" s="1237"/>
      <c r="D2" s="1237"/>
      <c r="E2" s="1237"/>
      <c r="F2" s="1237"/>
      <c r="G2" s="1237"/>
      <c r="H2" s="1237"/>
      <c r="I2" s="1237"/>
      <c r="J2" s="1237"/>
    </row>
    <row r="3" spans="1:18" s="132" customFormat="1" ht="17.25" customHeight="1" x14ac:dyDescent="0.3">
      <c r="A3" s="1238" t="s">
        <v>793</v>
      </c>
      <c r="B3" s="1238"/>
      <c r="C3" s="1238"/>
      <c r="D3" s="1238"/>
      <c r="E3" s="1238"/>
      <c r="F3" s="1238"/>
      <c r="G3" s="1238"/>
      <c r="H3" s="1238"/>
      <c r="I3" s="1238"/>
      <c r="J3" s="1238"/>
    </row>
    <row r="4" spans="1:18" s="132" customFormat="1" ht="8.25" customHeight="1" x14ac:dyDescent="0.2"/>
    <row r="5" spans="1:18" ht="16.5" customHeight="1" x14ac:dyDescent="0.25">
      <c r="A5" s="1239" t="s">
        <v>811</v>
      </c>
      <c r="B5" s="1239"/>
      <c r="C5" s="1239"/>
      <c r="D5" s="1239"/>
      <c r="E5" s="1239"/>
      <c r="F5" s="1239"/>
      <c r="G5" s="1239"/>
      <c r="H5" s="1239"/>
      <c r="I5" s="1239"/>
      <c r="J5" s="1239"/>
    </row>
    <row r="6" spans="1:18" ht="13.5" customHeight="1" x14ac:dyDescent="0.2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8" ht="0.75" customHeight="1" x14ac:dyDescent="0.2"/>
    <row r="8" spans="1:18" ht="15" x14ac:dyDescent="0.2">
      <c r="A8" s="1240" t="s">
        <v>661</v>
      </c>
      <c r="B8" s="1240"/>
      <c r="C8" s="1240"/>
      <c r="H8" s="1241" t="s">
        <v>967</v>
      </c>
      <c r="I8" s="1241"/>
      <c r="J8" s="1241"/>
      <c r="K8" s="134"/>
      <c r="L8" s="134"/>
    </row>
    <row r="9" spans="1:18" s="135" customFormat="1" ht="21" customHeight="1" x14ac:dyDescent="0.25">
      <c r="A9" s="1243" t="s">
        <v>2</v>
      </c>
      <c r="B9" s="1243" t="s">
        <v>3</v>
      </c>
      <c r="C9" s="1244" t="s">
        <v>812</v>
      </c>
      <c r="D9" s="1245"/>
      <c r="E9" s="1245"/>
      <c r="F9" s="1246"/>
      <c r="G9" s="1244" t="s">
        <v>94</v>
      </c>
      <c r="H9" s="1245"/>
      <c r="I9" s="1245"/>
      <c r="J9" s="1246"/>
      <c r="Q9" s="136"/>
      <c r="R9" s="137"/>
    </row>
    <row r="10" spans="1:18" s="141" customFormat="1" ht="63" customHeight="1" x14ac:dyDescent="0.25">
      <c r="A10" s="1243"/>
      <c r="B10" s="1243"/>
      <c r="C10" s="294" t="s">
        <v>168</v>
      </c>
      <c r="D10" s="294" t="s">
        <v>11</v>
      </c>
      <c r="E10" s="138" t="s">
        <v>956</v>
      </c>
      <c r="F10" s="138" t="s">
        <v>185</v>
      </c>
      <c r="G10" s="294" t="s">
        <v>168</v>
      </c>
      <c r="H10" s="139" t="s">
        <v>12</v>
      </c>
      <c r="I10" s="140" t="s">
        <v>103</v>
      </c>
      <c r="J10" s="294" t="s">
        <v>186</v>
      </c>
    </row>
    <row r="11" spans="1:18" x14ac:dyDescent="0.2">
      <c r="A11" s="298">
        <v>1</v>
      </c>
      <c r="B11" s="298">
        <v>2</v>
      </c>
      <c r="C11" s="298">
        <v>3</v>
      </c>
      <c r="D11" s="298">
        <v>4</v>
      </c>
      <c r="E11" s="298">
        <v>5</v>
      </c>
      <c r="F11" s="297">
        <v>6</v>
      </c>
      <c r="G11" s="298">
        <v>7</v>
      </c>
      <c r="H11" s="143">
        <v>8</v>
      </c>
      <c r="I11" s="298">
        <v>9</v>
      </c>
      <c r="J11" s="298">
        <v>10</v>
      </c>
    </row>
    <row r="12" spans="1:18" ht="19.5" customHeight="1" x14ac:dyDescent="0.2">
      <c r="A12" s="144">
        <v>1</v>
      </c>
      <c r="B12" s="130" t="s">
        <v>647</v>
      </c>
      <c r="C12" s="720">
        <v>2259</v>
      </c>
      <c r="D12" s="720">
        <v>107217</v>
      </c>
      <c r="E12" s="720">
        <v>220</v>
      </c>
      <c r="F12" s="838">
        <v>23587740</v>
      </c>
      <c r="G12" s="720">
        <f>'AT3A_cvrg(Insti)_PY'!L12-'AT3A_cvrg(Insti)_PY'!J12</f>
        <v>2350</v>
      </c>
      <c r="H12" s="721">
        <f>'enrolment vs availed_PY'!Q11-'enrolment vs availed_PY'!O11</f>
        <v>22908600</v>
      </c>
      <c r="I12" s="721">
        <v>220</v>
      </c>
      <c r="J12" s="722">
        <f>H12/I12</f>
        <v>104130</v>
      </c>
      <c r="K12" s="146">
        <v>18068640</v>
      </c>
      <c r="L12" s="146">
        <v>158880</v>
      </c>
      <c r="M12" s="146">
        <v>0</v>
      </c>
      <c r="N12" s="146">
        <v>0</v>
      </c>
      <c r="O12" s="146">
        <v>18227520</v>
      </c>
      <c r="P12" s="147">
        <f t="shared" ref="P12:P19" si="0">O12-H12</f>
        <v>-4681080</v>
      </c>
    </row>
    <row r="13" spans="1:18" ht="19.5" customHeight="1" x14ac:dyDescent="0.2">
      <c r="A13" s="144">
        <v>2</v>
      </c>
      <c r="B13" s="130" t="s">
        <v>648</v>
      </c>
      <c r="C13" s="720">
        <v>2191</v>
      </c>
      <c r="D13" s="720">
        <v>93184.999556809795</v>
      </c>
      <c r="E13" s="720">
        <v>220</v>
      </c>
      <c r="F13" s="838">
        <v>20500700</v>
      </c>
      <c r="G13" s="720">
        <f>'AT3A_cvrg(Insti)_PY'!L13-'AT3A_cvrg(Insti)_PY'!J13</f>
        <v>2196</v>
      </c>
      <c r="H13" s="721">
        <f>'enrolment vs availed_PY'!Q12-'enrolment vs availed_PY'!O12</f>
        <v>19028020</v>
      </c>
      <c r="I13" s="721">
        <v>220</v>
      </c>
      <c r="J13" s="722">
        <f t="shared" ref="J13:J24" si="1">H13/I13</f>
        <v>86491</v>
      </c>
      <c r="K13" s="146">
        <v>13202720</v>
      </c>
      <c r="L13" s="146">
        <v>229600</v>
      </c>
      <c r="M13" s="146">
        <v>0</v>
      </c>
      <c r="N13" s="146">
        <v>0</v>
      </c>
      <c r="O13" s="146">
        <v>13432320</v>
      </c>
      <c r="P13" s="147">
        <f t="shared" si="0"/>
        <v>-5595700</v>
      </c>
    </row>
    <row r="14" spans="1:18" ht="19.5" customHeight="1" x14ac:dyDescent="0.2">
      <c r="A14" s="144">
        <v>3</v>
      </c>
      <c r="B14" s="130" t="s">
        <v>649</v>
      </c>
      <c r="C14" s="720">
        <v>3229</v>
      </c>
      <c r="D14" s="720">
        <v>127697</v>
      </c>
      <c r="E14" s="720">
        <v>220</v>
      </c>
      <c r="F14" s="838">
        <v>28093340</v>
      </c>
      <c r="G14" s="720">
        <f>'AT3A_cvrg(Insti)_PY'!L14-'AT3A_cvrg(Insti)_PY'!J14</f>
        <v>3230</v>
      </c>
      <c r="H14" s="721">
        <f>'enrolment vs availed_PY'!Q13-'enrolment vs availed_PY'!O13</f>
        <v>27137220</v>
      </c>
      <c r="I14" s="721">
        <v>220</v>
      </c>
      <c r="J14" s="722">
        <f t="shared" si="1"/>
        <v>123351</v>
      </c>
      <c r="K14" s="146">
        <v>21129760.352000002</v>
      </c>
      <c r="L14" s="146">
        <v>1008160.0159999999</v>
      </c>
      <c r="M14" s="146"/>
      <c r="N14" s="146">
        <v>9920</v>
      </c>
      <c r="O14" s="146">
        <v>22147840.368000001</v>
      </c>
      <c r="P14" s="147">
        <f t="shared" si="0"/>
        <v>-4989379.6319999993</v>
      </c>
    </row>
    <row r="15" spans="1:18" ht="19.5" customHeight="1" x14ac:dyDescent="0.2">
      <c r="A15" s="144">
        <v>4</v>
      </c>
      <c r="B15" s="130" t="s">
        <v>650</v>
      </c>
      <c r="C15" s="720">
        <v>3316</v>
      </c>
      <c r="D15" s="720">
        <v>143402</v>
      </c>
      <c r="E15" s="720">
        <v>220</v>
      </c>
      <c r="F15" s="838">
        <v>31548440</v>
      </c>
      <c r="G15" s="720">
        <f>'AT3A_cvrg(Insti)_PY'!L15-'AT3A_cvrg(Insti)_PY'!J15</f>
        <v>3309</v>
      </c>
      <c r="H15" s="721">
        <f>'enrolment vs availed_PY'!Q14-'enrolment vs availed_PY'!O14</f>
        <v>30935960</v>
      </c>
      <c r="I15" s="721">
        <v>220</v>
      </c>
      <c r="J15" s="722">
        <f t="shared" si="1"/>
        <v>140618</v>
      </c>
      <c r="K15" s="146">
        <v>22450225.397478256</v>
      </c>
      <c r="L15" s="146">
        <v>961679.27782068879</v>
      </c>
      <c r="M15" s="146">
        <v>0</v>
      </c>
      <c r="N15" s="146">
        <v>0</v>
      </c>
      <c r="O15" s="146">
        <v>23411904.675298948</v>
      </c>
      <c r="P15" s="147">
        <f t="shared" si="0"/>
        <v>-7524055.3247010522</v>
      </c>
    </row>
    <row r="16" spans="1:18" ht="19.5" customHeight="1" x14ac:dyDescent="0.2">
      <c r="A16" s="144">
        <v>5</v>
      </c>
      <c r="B16" s="130" t="s">
        <v>651</v>
      </c>
      <c r="C16" s="720">
        <v>2520</v>
      </c>
      <c r="D16" s="720">
        <v>125647.00000000004</v>
      </c>
      <c r="E16" s="720">
        <v>220</v>
      </c>
      <c r="F16" s="838">
        <v>27642340</v>
      </c>
      <c r="G16" s="720">
        <f>'AT3A_cvrg(Insti)_PY'!L16-'AT3A_cvrg(Insti)_PY'!J16</f>
        <v>2538</v>
      </c>
      <c r="H16" s="721">
        <f>'enrolment vs availed_PY'!Q15-'enrolment vs availed_PY'!O15</f>
        <v>26240720</v>
      </c>
      <c r="I16" s="721">
        <v>220</v>
      </c>
      <c r="J16" s="722">
        <f t="shared" si="1"/>
        <v>119276</v>
      </c>
      <c r="K16" s="146">
        <v>20268672.158105604</v>
      </c>
      <c r="L16" s="146">
        <v>1199524.1997311998</v>
      </c>
      <c r="M16" s="146">
        <v>0</v>
      </c>
      <c r="N16" s="146">
        <v>0</v>
      </c>
      <c r="O16" s="146">
        <v>21468196.357836805</v>
      </c>
      <c r="P16" s="147">
        <f t="shared" si="0"/>
        <v>-4772523.6421631947</v>
      </c>
    </row>
    <row r="17" spans="1:17" ht="19.5" customHeight="1" x14ac:dyDescent="0.2">
      <c r="A17" s="144">
        <v>6</v>
      </c>
      <c r="B17" s="130" t="s">
        <v>652</v>
      </c>
      <c r="C17" s="720">
        <v>2241</v>
      </c>
      <c r="D17" s="720">
        <v>137495</v>
      </c>
      <c r="E17" s="720">
        <v>220</v>
      </c>
      <c r="F17" s="838">
        <v>30248900</v>
      </c>
      <c r="G17" s="720">
        <f>'AT3A_cvrg(Insti)_PY'!L17-'AT3A_cvrg(Insti)_PY'!J17</f>
        <v>2200</v>
      </c>
      <c r="H17" s="721">
        <f>'enrolment vs availed_PY'!Q16-'enrolment vs availed_PY'!O16</f>
        <v>27841000</v>
      </c>
      <c r="I17" s="721">
        <v>220</v>
      </c>
      <c r="J17" s="722">
        <f t="shared" si="1"/>
        <v>126550</v>
      </c>
      <c r="K17" s="146">
        <v>17261568</v>
      </c>
      <c r="L17" s="146">
        <v>4265712</v>
      </c>
      <c r="M17" s="146">
        <v>0</v>
      </c>
      <c r="N17" s="146">
        <v>6192</v>
      </c>
      <c r="O17" s="146">
        <v>21533472</v>
      </c>
      <c r="P17" s="147">
        <f t="shared" si="0"/>
        <v>-6307528</v>
      </c>
    </row>
    <row r="18" spans="1:17" ht="19.5" customHeight="1" x14ac:dyDescent="0.2">
      <c r="A18" s="144">
        <v>7</v>
      </c>
      <c r="B18" s="130" t="s">
        <v>653</v>
      </c>
      <c r="C18" s="720">
        <v>2718</v>
      </c>
      <c r="D18" s="720">
        <v>113500</v>
      </c>
      <c r="E18" s="720">
        <v>220</v>
      </c>
      <c r="F18" s="838">
        <v>24970000</v>
      </c>
      <c r="G18" s="720">
        <f>'AT3A_cvrg(Insti)_PY'!L18-'AT3A_cvrg(Insti)_PY'!J18</f>
        <v>2701</v>
      </c>
      <c r="H18" s="721">
        <f>'enrolment vs availed_PY'!Q17-'enrolment vs availed_PY'!O17</f>
        <v>31921560</v>
      </c>
      <c r="I18" s="721">
        <v>220</v>
      </c>
      <c r="J18" s="722">
        <f t="shared" si="1"/>
        <v>145098</v>
      </c>
      <c r="K18" s="146">
        <v>22001440</v>
      </c>
      <c r="L18" s="146">
        <v>2268960</v>
      </c>
      <c r="M18" s="146">
        <v>130086</v>
      </c>
      <c r="N18" s="146">
        <v>119355</v>
      </c>
      <c r="O18" s="146">
        <v>24519841</v>
      </c>
      <c r="P18" s="147">
        <f t="shared" si="0"/>
        <v>-7401719</v>
      </c>
      <c r="Q18" s="293">
        <f>P18/219</f>
        <v>-33797.803652968039</v>
      </c>
    </row>
    <row r="19" spans="1:17" ht="19.5" customHeight="1" x14ac:dyDescent="0.2">
      <c r="A19" s="144">
        <v>8</v>
      </c>
      <c r="B19" s="130" t="s">
        <v>654</v>
      </c>
      <c r="C19" s="720">
        <v>2552</v>
      </c>
      <c r="D19" s="720">
        <v>130263</v>
      </c>
      <c r="E19" s="720">
        <v>220</v>
      </c>
      <c r="F19" s="838">
        <v>28657860</v>
      </c>
      <c r="G19" s="720">
        <f>'AT3A_cvrg(Insti)_PY'!L19-'AT3A_cvrg(Insti)_PY'!J19</f>
        <v>2595</v>
      </c>
      <c r="H19" s="721">
        <f>'enrolment vs availed_PY'!Q18-'enrolment vs availed_PY'!O18</f>
        <v>26577540</v>
      </c>
      <c r="I19" s="721">
        <v>220</v>
      </c>
      <c r="J19" s="722">
        <f t="shared" si="1"/>
        <v>120807</v>
      </c>
      <c r="K19" s="146">
        <v>19522352.858027924</v>
      </c>
      <c r="L19" s="146">
        <v>1463407</v>
      </c>
      <c r="M19" s="146">
        <v>9440</v>
      </c>
      <c r="N19" s="146">
        <v>29920</v>
      </c>
      <c r="O19" s="146">
        <v>21025119.858027924</v>
      </c>
      <c r="P19" s="147">
        <f t="shared" si="0"/>
        <v>-5552420.1419720761</v>
      </c>
    </row>
    <row r="20" spans="1:17" ht="19.5" customHeight="1" x14ac:dyDescent="0.2">
      <c r="A20" s="144">
        <v>9</v>
      </c>
      <c r="B20" s="130" t="s">
        <v>655</v>
      </c>
      <c r="C20" s="720">
        <v>2669</v>
      </c>
      <c r="D20" s="720">
        <v>125848</v>
      </c>
      <c r="E20" s="720">
        <v>220</v>
      </c>
      <c r="F20" s="838">
        <v>27686560</v>
      </c>
      <c r="G20" s="720">
        <f>'AT3A_cvrg(Insti)_PY'!L20-'AT3A_cvrg(Insti)_PY'!J20</f>
        <v>2665</v>
      </c>
      <c r="H20" s="721">
        <f>'enrolment vs availed_PY'!Q19-'enrolment vs availed_PY'!O19</f>
        <v>26186160</v>
      </c>
      <c r="I20" s="721">
        <v>220</v>
      </c>
      <c r="J20" s="722">
        <f t="shared" si="1"/>
        <v>119028</v>
      </c>
      <c r="K20" s="146">
        <v>19525726</v>
      </c>
      <c r="L20" s="146">
        <v>882906</v>
      </c>
      <c r="M20" s="146">
        <v>0</v>
      </c>
      <c r="N20" s="146">
        <v>142160</v>
      </c>
      <c r="O20" s="146">
        <v>20550792</v>
      </c>
      <c r="P20" s="147">
        <v>132057</v>
      </c>
      <c r="Q20" s="293">
        <f>P20/219</f>
        <v>603</v>
      </c>
    </row>
    <row r="21" spans="1:17" ht="19.5" customHeight="1" x14ac:dyDescent="0.2">
      <c r="A21" s="144">
        <v>10</v>
      </c>
      <c r="B21" s="130" t="s">
        <v>656</v>
      </c>
      <c r="C21" s="720">
        <v>3768</v>
      </c>
      <c r="D21" s="720">
        <v>148142</v>
      </c>
      <c r="E21" s="720">
        <v>220</v>
      </c>
      <c r="F21" s="838">
        <v>32591240</v>
      </c>
      <c r="G21" s="720">
        <f>'AT3A_cvrg(Insti)_PY'!L21-'AT3A_cvrg(Insti)_PY'!J21</f>
        <v>3741</v>
      </c>
      <c r="H21" s="721">
        <f>'enrolment vs availed_PY'!Q20-'enrolment vs availed_PY'!O20</f>
        <v>30910880</v>
      </c>
      <c r="I21" s="721">
        <v>220</v>
      </c>
      <c r="J21" s="722">
        <f t="shared" si="1"/>
        <v>140504</v>
      </c>
      <c r="K21" s="146">
        <v>23869279.391245503</v>
      </c>
      <c r="L21" s="146">
        <v>349684.64425660344</v>
      </c>
      <c r="M21" s="146">
        <v>0</v>
      </c>
      <c r="N21" s="146">
        <v>29195.964497892073</v>
      </c>
      <c r="O21" s="146">
        <v>24248160</v>
      </c>
      <c r="P21" s="147">
        <f>O21-H21</f>
        <v>-6662720</v>
      </c>
    </row>
    <row r="22" spans="1:17" ht="19.5" customHeight="1" x14ac:dyDescent="0.2">
      <c r="A22" s="144">
        <v>11</v>
      </c>
      <c r="B22" s="130" t="s">
        <v>657</v>
      </c>
      <c r="C22" s="720">
        <v>2584</v>
      </c>
      <c r="D22" s="720">
        <v>119515</v>
      </c>
      <c r="E22" s="720">
        <v>220</v>
      </c>
      <c r="F22" s="838">
        <v>26293300</v>
      </c>
      <c r="G22" s="720">
        <f>'AT3A_cvrg(Insti)_PY'!L22-'AT3A_cvrg(Insti)_PY'!J22</f>
        <v>2660</v>
      </c>
      <c r="H22" s="721">
        <f>'enrolment vs availed_PY'!Q21-'enrolment vs availed_PY'!O21</f>
        <v>25699740</v>
      </c>
      <c r="I22" s="721">
        <v>220</v>
      </c>
      <c r="J22" s="722">
        <f t="shared" si="1"/>
        <v>116817</v>
      </c>
      <c r="K22" s="146">
        <v>17711200</v>
      </c>
      <c r="L22" s="146">
        <v>1201920</v>
      </c>
      <c r="M22" s="146">
        <v>0</v>
      </c>
      <c r="N22" s="146">
        <v>0</v>
      </c>
      <c r="O22" s="146">
        <v>18913120</v>
      </c>
      <c r="P22" s="147">
        <f>O22-H22</f>
        <v>-6786620</v>
      </c>
    </row>
    <row r="23" spans="1:17" ht="19.5" customHeight="1" x14ac:dyDescent="0.2">
      <c r="A23" s="144">
        <v>12</v>
      </c>
      <c r="B23" s="130" t="s">
        <v>658</v>
      </c>
      <c r="C23" s="720">
        <v>2662</v>
      </c>
      <c r="D23" s="720">
        <v>164823</v>
      </c>
      <c r="E23" s="720">
        <v>220</v>
      </c>
      <c r="F23" s="838">
        <v>36261060</v>
      </c>
      <c r="G23" s="720">
        <f>'AT3A_cvrg(Insti)_PY'!L23-'AT3A_cvrg(Insti)_PY'!J23</f>
        <v>2687</v>
      </c>
      <c r="H23" s="721">
        <f>'enrolment vs availed_PY'!Q22-'enrolment vs availed_PY'!O22</f>
        <v>24245760</v>
      </c>
      <c r="I23" s="721">
        <v>220</v>
      </c>
      <c r="J23" s="722">
        <f t="shared" si="1"/>
        <v>110208</v>
      </c>
      <c r="K23" s="146"/>
      <c r="L23" s="146"/>
      <c r="M23" s="146"/>
      <c r="N23" s="146"/>
      <c r="O23" s="146"/>
    </row>
    <row r="24" spans="1:17" ht="19.5" customHeight="1" x14ac:dyDescent="0.2">
      <c r="A24" s="144">
        <v>13</v>
      </c>
      <c r="B24" s="130" t="s">
        <v>659</v>
      </c>
      <c r="C24" s="720">
        <v>1944</v>
      </c>
      <c r="D24" s="720">
        <v>203266</v>
      </c>
      <c r="E24" s="720">
        <v>220</v>
      </c>
      <c r="F24" s="838">
        <v>44718520</v>
      </c>
      <c r="G24" s="720">
        <f>'AT3A_cvrg(Insti)_PY'!L24-'AT3A_cvrg(Insti)_PY'!J24</f>
        <v>1940</v>
      </c>
      <c r="H24" s="721">
        <f>'enrolment vs availed_PY'!Q23-'enrolment vs availed_PY'!O23</f>
        <v>44777920</v>
      </c>
      <c r="I24" s="721">
        <v>220</v>
      </c>
      <c r="J24" s="722">
        <f t="shared" si="1"/>
        <v>203536</v>
      </c>
      <c r="K24" s="146">
        <v>33207680</v>
      </c>
      <c r="L24" s="146">
        <v>1482400</v>
      </c>
      <c r="M24" s="146">
        <v>29280</v>
      </c>
      <c r="N24" s="146">
        <v>513600</v>
      </c>
      <c r="O24" s="146">
        <v>35232960</v>
      </c>
    </row>
    <row r="25" spans="1:17" s="148" customFormat="1" ht="19.5" customHeight="1" x14ac:dyDescent="0.2">
      <c r="A25" s="1247" t="s">
        <v>13</v>
      </c>
      <c r="B25" s="1248"/>
      <c r="C25" s="723">
        <f>SUM(C12:C24)</f>
        <v>34653</v>
      </c>
      <c r="D25" s="723">
        <f>SUM(D12:D24)</f>
        <v>1739999.9995568097</v>
      </c>
      <c r="E25" s="723" t="s">
        <v>7</v>
      </c>
      <c r="F25" s="724">
        <f>SUM(F12:F24)</f>
        <v>382800000</v>
      </c>
      <c r="G25" s="724">
        <f t="shared" ref="G25:H25" si="2">SUM(G12:G24)</f>
        <v>34812</v>
      </c>
      <c r="H25" s="724">
        <f t="shared" si="2"/>
        <v>364411080</v>
      </c>
      <c r="I25" s="723" t="s">
        <v>7</v>
      </c>
      <c r="J25" s="724">
        <f>SUM(J12:J24)</f>
        <v>1656414</v>
      </c>
    </row>
    <row r="26" spans="1:17" ht="18.75" customHeight="1" x14ac:dyDescent="0.2">
      <c r="A26" s="1249"/>
      <c r="B26" s="1249"/>
      <c r="C26" s="1249"/>
      <c r="D26" s="1249"/>
      <c r="E26" s="1249"/>
      <c r="F26" s="1249"/>
      <c r="G26" s="1249"/>
      <c r="H26" s="1249"/>
      <c r="I26" s="1249"/>
      <c r="J26" s="1249"/>
    </row>
    <row r="27" spans="1:17" ht="18.75" customHeight="1" x14ac:dyDescent="0.2">
      <c r="A27" s="149"/>
      <c r="B27" s="149"/>
      <c r="C27" s="149"/>
      <c r="D27" s="149"/>
      <c r="E27" s="149"/>
      <c r="F27" s="149"/>
      <c r="G27" s="149"/>
      <c r="H27" s="149"/>
      <c r="I27" s="149"/>
      <c r="J27" s="149"/>
    </row>
    <row r="28" spans="1:17" ht="57.75" customHeight="1" x14ac:dyDescent="0.2">
      <c r="A28" s="1230" t="s">
        <v>676</v>
      </c>
      <c r="B28" s="1230"/>
      <c r="C28" s="397"/>
      <c r="D28" s="398"/>
      <c r="E28" s="398"/>
      <c r="F28" s="399"/>
      <c r="G28" s="399"/>
      <c r="H28" s="1231" t="s">
        <v>646</v>
      </c>
      <c r="I28" s="1231"/>
      <c r="J28" s="1231"/>
    </row>
    <row r="29" spans="1:17" x14ac:dyDescent="0.2">
      <c r="A29" s="1242"/>
      <c r="B29" s="1242"/>
      <c r="C29" s="1242"/>
      <c r="D29" s="1242"/>
      <c r="E29" s="1242"/>
      <c r="F29" s="1242"/>
      <c r="G29" s="1242"/>
      <c r="H29" s="1242"/>
      <c r="I29" s="1242"/>
      <c r="J29" s="1242"/>
    </row>
    <row r="31" spans="1:17" x14ac:dyDescent="0.2">
      <c r="A31" s="1242"/>
      <c r="B31" s="1242"/>
      <c r="C31" s="1242"/>
      <c r="D31" s="1242"/>
      <c r="E31" s="1242"/>
      <c r="F31" s="1242"/>
      <c r="G31" s="1242"/>
      <c r="H31" s="1242"/>
      <c r="I31" s="1242"/>
      <c r="J31" s="1242"/>
    </row>
  </sheetData>
  <mergeCells count="16">
    <mergeCell ref="A28:B28"/>
    <mergeCell ref="H28:J28"/>
    <mergeCell ref="A29:J29"/>
    <mergeCell ref="A31:J31"/>
    <mergeCell ref="A9:A10"/>
    <mergeCell ref="B9:B10"/>
    <mergeCell ref="C9:F9"/>
    <mergeCell ref="G9:J9"/>
    <mergeCell ref="A25:B25"/>
    <mergeCell ref="A26:J26"/>
    <mergeCell ref="E1:I1"/>
    <mergeCell ref="A2:J2"/>
    <mergeCell ref="A3:J3"/>
    <mergeCell ref="A5:J5"/>
    <mergeCell ref="A8:C8"/>
    <mergeCell ref="H8:J8"/>
  </mergeCells>
  <printOptions horizontalCentered="1"/>
  <pageMargins left="0.70866141732283472" right="0.19685039370078741" top="0.51181102362204722" bottom="0.19685039370078741" header="0.19685039370078741" footer="0.19685039370078741"/>
  <pageSetup paperSize="9" scale="98" orientation="landscape" r:id="rId1"/>
  <headerFooter>
    <oddFooter>&amp;CSheet-66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59999389629810485"/>
    <pageSetUpPr fitToPage="1"/>
  </sheetPr>
  <dimension ref="A1:P30"/>
  <sheetViews>
    <sheetView view="pageBreakPreview" topLeftCell="H10" zoomScale="85" zoomScaleSheetLayoutView="85" workbookViewId="0">
      <selection activeCell="T10" sqref="T1:AI1048576"/>
    </sheetView>
  </sheetViews>
  <sheetFormatPr defaultColWidth="9.140625" defaultRowHeight="12.75" x14ac:dyDescent="0.2"/>
  <cols>
    <col min="1" max="1" width="7.42578125" style="780" customWidth="1"/>
    <col min="2" max="2" width="17.140625" style="780" customWidth="1"/>
    <col min="3" max="3" width="11" style="780" customWidth="1"/>
    <col min="4" max="4" width="10" style="780" customWidth="1"/>
    <col min="5" max="5" width="14.140625" style="780" customWidth="1"/>
    <col min="6" max="6" width="14.28515625" style="780" customWidth="1"/>
    <col min="7" max="7" width="13.28515625" style="780" customWidth="1"/>
    <col min="8" max="8" width="14.7109375" style="780" customWidth="1"/>
    <col min="9" max="9" width="16.7109375" style="780" customWidth="1"/>
    <col min="10" max="10" width="19.28515625" style="780" customWidth="1"/>
    <col min="11" max="11" width="10.42578125" style="780" hidden="1" customWidth="1"/>
    <col min="12" max="14" width="0" style="780" hidden="1" customWidth="1"/>
    <col min="15" max="16" width="10.140625" style="780" hidden="1" customWidth="1"/>
    <col min="17" max="18" width="0" style="780" hidden="1" customWidth="1"/>
    <col min="19" max="16384" width="9.140625" style="780"/>
  </cols>
  <sheetData>
    <row r="1" spans="1:16" s="132" customFormat="1" x14ac:dyDescent="0.2">
      <c r="E1" s="1236"/>
      <c r="F1" s="1236"/>
      <c r="G1" s="1236"/>
      <c r="H1" s="1236"/>
      <c r="I1" s="1236"/>
      <c r="J1" s="133" t="s">
        <v>343</v>
      </c>
    </row>
    <row r="2" spans="1:16" s="132" customFormat="1" ht="15" x14ac:dyDescent="0.2">
      <c r="A2" s="1237" t="s">
        <v>0</v>
      </c>
      <c r="B2" s="1237"/>
      <c r="C2" s="1237"/>
      <c r="D2" s="1237"/>
      <c r="E2" s="1237"/>
      <c r="F2" s="1237"/>
      <c r="G2" s="1237"/>
      <c r="H2" s="1237"/>
      <c r="I2" s="1237"/>
      <c r="J2" s="1237"/>
    </row>
    <row r="3" spans="1:16" s="132" customFormat="1" ht="20.25" x14ac:dyDescent="0.3">
      <c r="A3" s="1238" t="s">
        <v>793</v>
      </c>
      <c r="B3" s="1238"/>
      <c r="C3" s="1238"/>
      <c r="D3" s="1238"/>
      <c r="E3" s="1238"/>
      <c r="F3" s="1238"/>
      <c r="G3" s="1238"/>
      <c r="H3" s="1238"/>
      <c r="I3" s="1238"/>
      <c r="J3" s="1238"/>
    </row>
    <row r="4" spans="1:16" s="132" customFormat="1" ht="14.25" customHeight="1" x14ac:dyDescent="0.2"/>
    <row r="5" spans="1:16" ht="31.5" customHeight="1" x14ac:dyDescent="0.25">
      <c r="A5" s="1239" t="s">
        <v>813</v>
      </c>
      <c r="B5" s="1239"/>
      <c r="C5" s="1239"/>
      <c r="D5" s="1239"/>
      <c r="E5" s="1239"/>
      <c r="F5" s="1239"/>
      <c r="G5" s="1239"/>
      <c r="H5" s="1239"/>
      <c r="I5" s="1239"/>
      <c r="J5" s="1239"/>
    </row>
    <row r="6" spans="1:16" ht="13.5" customHeight="1" x14ac:dyDescent="0.2">
      <c r="A6" s="779"/>
      <c r="B6" s="779"/>
      <c r="C6" s="779"/>
      <c r="D6" s="779"/>
      <c r="E6" s="779"/>
      <c r="F6" s="779"/>
      <c r="G6" s="779"/>
      <c r="H6" s="779"/>
      <c r="I6" s="779"/>
      <c r="J6" s="779"/>
    </row>
    <row r="7" spans="1:16" ht="0.75" customHeight="1" x14ac:dyDescent="0.2"/>
    <row r="8" spans="1:16" ht="15" x14ac:dyDescent="0.2">
      <c r="A8" s="1240" t="s">
        <v>661</v>
      </c>
      <c r="B8" s="1240"/>
      <c r="C8" s="1240"/>
      <c r="H8" s="1241" t="s">
        <v>967</v>
      </c>
      <c r="I8" s="1241"/>
      <c r="J8" s="1241"/>
    </row>
    <row r="9" spans="1:16" ht="21.75" customHeight="1" x14ac:dyDescent="0.2">
      <c r="A9" s="1250" t="s">
        <v>2</v>
      </c>
      <c r="B9" s="1250" t="s">
        <v>3</v>
      </c>
      <c r="C9" s="1244" t="s">
        <v>812</v>
      </c>
      <c r="D9" s="1245"/>
      <c r="E9" s="1245"/>
      <c r="F9" s="1246"/>
      <c r="G9" s="1251" t="s">
        <v>94</v>
      </c>
      <c r="H9" s="1252"/>
      <c r="I9" s="1252"/>
      <c r="J9" s="1253"/>
      <c r="O9" s="145"/>
      <c r="P9" s="400"/>
    </row>
    <row r="10" spans="1:16" ht="60" customHeight="1" x14ac:dyDescent="0.2">
      <c r="A10" s="1250"/>
      <c r="B10" s="1250"/>
      <c r="C10" s="781" t="s">
        <v>168</v>
      </c>
      <c r="D10" s="781" t="s">
        <v>11</v>
      </c>
      <c r="E10" s="138" t="s">
        <v>956</v>
      </c>
      <c r="F10" s="775" t="s">
        <v>185</v>
      </c>
      <c r="G10" s="781" t="s">
        <v>168</v>
      </c>
      <c r="H10" s="776" t="s">
        <v>12</v>
      </c>
      <c r="I10" s="401" t="s">
        <v>103</v>
      </c>
      <c r="J10" s="781" t="s">
        <v>186</v>
      </c>
    </row>
    <row r="11" spans="1:16" x14ac:dyDescent="0.2">
      <c r="A11" s="784">
        <v>1</v>
      </c>
      <c r="B11" s="784">
        <v>2</v>
      </c>
      <c r="C11" s="784">
        <v>3</v>
      </c>
      <c r="D11" s="784">
        <v>4</v>
      </c>
      <c r="E11" s="784">
        <v>5</v>
      </c>
      <c r="F11" s="783">
        <v>6</v>
      </c>
      <c r="G11" s="784">
        <v>7</v>
      </c>
      <c r="H11" s="143">
        <v>8</v>
      </c>
      <c r="I11" s="784">
        <v>9</v>
      </c>
      <c r="J11" s="784">
        <v>10</v>
      </c>
    </row>
    <row r="12" spans="1:16" ht="19.5" customHeight="1" x14ac:dyDescent="0.2">
      <c r="A12" s="144">
        <v>1</v>
      </c>
      <c r="B12" s="130" t="s">
        <v>647</v>
      </c>
      <c r="C12" s="406">
        <v>943</v>
      </c>
      <c r="D12" s="406">
        <v>63709</v>
      </c>
      <c r="E12" s="396">
        <v>220</v>
      </c>
      <c r="F12" s="407">
        <f>D12*E12</f>
        <v>14015980</v>
      </c>
      <c r="G12" s="406">
        <f>'AT3B_cvrg(Insti)_UPY '!L11+'AT3C_cvrg(Insti)_UPY '!L11</f>
        <v>804</v>
      </c>
      <c r="H12" s="408">
        <f>'enrolment vs availed_UPY'!Q11</f>
        <v>13685540</v>
      </c>
      <c r="I12" s="408">
        <v>220</v>
      </c>
      <c r="J12" s="408">
        <f>H12/I12</f>
        <v>62207</v>
      </c>
      <c r="K12" s="402">
        <v>10648480</v>
      </c>
      <c r="L12" s="402">
        <v>24160</v>
      </c>
      <c r="M12" s="402">
        <v>0</v>
      </c>
      <c r="N12" s="402"/>
      <c r="O12" s="402">
        <v>10672640</v>
      </c>
      <c r="P12" s="147">
        <f t="shared" ref="P12:P22" si="0">O12-H12</f>
        <v>-3012900</v>
      </c>
    </row>
    <row r="13" spans="1:16" ht="19.5" customHeight="1" x14ac:dyDescent="0.2">
      <c r="A13" s="144">
        <v>2</v>
      </c>
      <c r="B13" s="130" t="s">
        <v>648</v>
      </c>
      <c r="C13" s="406">
        <v>516</v>
      </c>
      <c r="D13" s="406">
        <v>55014.999788895715</v>
      </c>
      <c r="E13" s="396">
        <v>220</v>
      </c>
      <c r="F13" s="407">
        <f t="shared" ref="F13:F24" si="1">D13*E13</f>
        <v>12103299.953557057</v>
      </c>
      <c r="G13" s="406">
        <f>'AT3B_cvrg(Insti)_UPY '!L12+'AT3C_cvrg(Insti)_UPY '!L12</f>
        <v>505</v>
      </c>
      <c r="H13" s="408">
        <f>'enrolment vs availed_UPY'!Q12</f>
        <v>13178000</v>
      </c>
      <c r="I13" s="408">
        <v>220</v>
      </c>
      <c r="J13" s="408">
        <f t="shared" ref="J13:J24" si="2">H13/I13</f>
        <v>59900</v>
      </c>
      <c r="K13" s="402">
        <v>7863840</v>
      </c>
      <c r="L13" s="402">
        <v>137760</v>
      </c>
      <c r="M13" s="402">
        <v>0</v>
      </c>
      <c r="N13" s="402">
        <v>0</v>
      </c>
      <c r="O13" s="402">
        <v>8001600</v>
      </c>
      <c r="P13" s="147">
        <f t="shared" si="0"/>
        <v>-5176400</v>
      </c>
    </row>
    <row r="14" spans="1:16" ht="19.5" customHeight="1" x14ac:dyDescent="0.2">
      <c r="A14" s="144">
        <v>3</v>
      </c>
      <c r="B14" s="130" t="s">
        <v>649</v>
      </c>
      <c r="C14" s="406">
        <v>684</v>
      </c>
      <c r="D14" s="406">
        <v>58606</v>
      </c>
      <c r="E14" s="396">
        <v>220</v>
      </c>
      <c r="F14" s="407">
        <f t="shared" si="1"/>
        <v>12893320</v>
      </c>
      <c r="G14" s="406">
        <f>'AT3B_cvrg(Insti)_UPY '!L13+'AT3C_cvrg(Insti)_UPY '!L13</f>
        <v>633</v>
      </c>
      <c r="H14" s="408">
        <f>'enrolment vs availed_UPY'!Q13</f>
        <v>12891340</v>
      </c>
      <c r="I14" s="408">
        <v>220</v>
      </c>
      <c r="J14" s="408">
        <f t="shared" si="2"/>
        <v>58597</v>
      </c>
      <c r="K14" s="402">
        <v>10362560.015999999</v>
      </c>
      <c r="L14" s="402">
        <v>483520.14720000001</v>
      </c>
      <c r="M14" s="402"/>
      <c r="N14" s="402"/>
      <c r="O14" s="402">
        <v>10846080.163199998</v>
      </c>
      <c r="P14" s="147">
        <f t="shared" si="0"/>
        <v>-2045259.8368000016</v>
      </c>
    </row>
    <row r="15" spans="1:16" ht="19.5" customHeight="1" x14ac:dyDescent="0.2">
      <c r="A15" s="144">
        <v>4</v>
      </c>
      <c r="B15" s="130" t="s">
        <v>650</v>
      </c>
      <c r="C15" s="406">
        <v>984</v>
      </c>
      <c r="D15" s="406">
        <v>87159</v>
      </c>
      <c r="E15" s="396">
        <v>220</v>
      </c>
      <c r="F15" s="407">
        <f t="shared" si="1"/>
        <v>19174980</v>
      </c>
      <c r="G15" s="406">
        <f>'AT3B_cvrg(Insti)_UPY '!L14+'AT3C_cvrg(Insti)_UPY '!L14</f>
        <v>955</v>
      </c>
      <c r="H15" s="408">
        <f>'enrolment vs availed_UPY'!Q14</f>
        <v>24279860</v>
      </c>
      <c r="I15" s="408">
        <v>220</v>
      </c>
      <c r="J15" s="408">
        <f t="shared" si="2"/>
        <v>110363</v>
      </c>
      <c r="K15" s="402">
        <v>12515786.537387598</v>
      </c>
      <c r="L15" s="402">
        <v>620181.46261240111</v>
      </c>
      <c r="M15" s="402">
        <v>0</v>
      </c>
      <c r="N15" s="402">
        <v>0</v>
      </c>
      <c r="O15" s="402">
        <v>13135968</v>
      </c>
      <c r="P15" s="147">
        <f t="shared" si="0"/>
        <v>-11143892</v>
      </c>
    </row>
    <row r="16" spans="1:16" ht="19.5" customHeight="1" x14ac:dyDescent="0.2">
      <c r="A16" s="144">
        <v>5</v>
      </c>
      <c r="B16" s="130" t="s">
        <v>651</v>
      </c>
      <c r="C16" s="406">
        <f>716+8</f>
        <v>724</v>
      </c>
      <c r="D16" s="406">
        <v>80893.254534058375</v>
      </c>
      <c r="E16" s="396">
        <v>220</v>
      </c>
      <c r="F16" s="407">
        <f t="shared" si="1"/>
        <v>17796515.997492842</v>
      </c>
      <c r="G16" s="406">
        <f>'AT3B_cvrg(Insti)_UPY '!L15+'AT3C_cvrg(Insti)_UPY '!L15</f>
        <v>692</v>
      </c>
      <c r="H16" s="408">
        <f>'enrolment vs availed_UPY'!Q15</f>
        <v>19551620</v>
      </c>
      <c r="I16" s="408">
        <v>220</v>
      </c>
      <c r="J16" s="408">
        <f t="shared" si="2"/>
        <v>88871</v>
      </c>
      <c r="K16" s="402">
        <v>12744500.800000004</v>
      </c>
      <c r="L16" s="402">
        <v>417816</v>
      </c>
      <c r="M16" s="402">
        <v>131181</v>
      </c>
      <c r="N16" s="402">
        <v>0</v>
      </c>
      <c r="O16" s="402">
        <v>13162316.800000004</v>
      </c>
      <c r="P16" s="147">
        <f t="shared" si="0"/>
        <v>-6389303.1999999955</v>
      </c>
    </row>
    <row r="17" spans="1:16" ht="19.5" customHeight="1" x14ac:dyDescent="0.2">
      <c r="A17" s="144">
        <v>6</v>
      </c>
      <c r="B17" s="130" t="s">
        <v>652</v>
      </c>
      <c r="C17" s="406">
        <v>915</v>
      </c>
      <c r="D17" s="406">
        <v>63966</v>
      </c>
      <c r="E17" s="396">
        <v>220</v>
      </c>
      <c r="F17" s="407">
        <f t="shared" si="1"/>
        <v>14072520</v>
      </c>
      <c r="G17" s="406">
        <f>'AT3B_cvrg(Insti)_UPY '!L16+'AT3C_cvrg(Insti)_UPY '!L16</f>
        <v>913</v>
      </c>
      <c r="H17" s="408">
        <f>'enrolment vs availed_UPY'!Q16</f>
        <v>13139500</v>
      </c>
      <c r="I17" s="408">
        <v>220</v>
      </c>
      <c r="J17" s="408">
        <f t="shared" si="2"/>
        <v>59725</v>
      </c>
      <c r="K17" s="402">
        <v>8087184</v>
      </c>
      <c r="L17" s="402">
        <v>1356192</v>
      </c>
      <c r="M17" s="402">
        <v>6480</v>
      </c>
      <c r="N17" s="402">
        <v>44064</v>
      </c>
      <c r="O17" s="402">
        <v>9493920</v>
      </c>
      <c r="P17" s="147">
        <f t="shared" si="0"/>
        <v>-3645580</v>
      </c>
    </row>
    <row r="18" spans="1:16" ht="19.5" customHeight="1" x14ac:dyDescent="0.2">
      <c r="A18" s="144">
        <v>7</v>
      </c>
      <c r="B18" s="130" t="s">
        <v>653</v>
      </c>
      <c r="C18" s="406">
        <v>852</v>
      </c>
      <c r="D18" s="406">
        <v>124658</v>
      </c>
      <c r="E18" s="396">
        <v>220</v>
      </c>
      <c r="F18" s="407">
        <f t="shared" si="1"/>
        <v>27424760</v>
      </c>
      <c r="G18" s="406">
        <f>'AT3B_cvrg(Insti)_UPY '!L17+'AT3C_cvrg(Insti)_UPY '!L17</f>
        <v>776</v>
      </c>
      <c r="H18" s="408">
        <f>'enrolment vs availed_UPY'!Q17</f>
        <v>17797560</v>
      </c>
      <c r="I18" s="408">
        <v>220</v>
      </c>
      <c r="J18" s="408">
        <f t="shared" si="2"/>
        <v>80898</v>
      </c>
      <c r="K18" s="402">
        <v>12089440</v>
      </c>
      <c r="L18" s="402">
        <v>1770720</v>
      </c>
      <c r="M18" s="402">
        <v>0</v>
      </c>
      <c r="N18" s="402">
        <v>0</v>
      </c>
      <c r="O18" s="402">
        <v>13860160</v>
      </c>
      <c r="P18" s="147">
        <f t="shared" si="0"/>
        <v>-3937400</v>
      </c>
    </row>
    <row r="19" spans="1:16" ht="19.5" customHeight="1" x14ac:dyDescent="0.2">
      <c r="A19" s="144">
        <v>8</v>
      </c>
      <c r="B19" s="130" t="s">
        <v>654</v>
      </c>
      <c r="C19" s="406">
        <v>772</v>
      </c>
      <c r="D19" s="406">
        <v>53861</v>
      </c>
      <c r="E19" s="396">
        <v>220</v>
      </c>
      <c r="F19" s="407">
        <f t="shared" si="1"/>
        <v>11849420</v>
      </c>
      <c r="G19" s="406">
        <f>'AT3B_cvrg(Insti)_UPY '!L18+'AT3C_cvrg(Insti)_UPY '!L18</f>
        <v>772</v>
      </c>
      <c r="H19" s="408">
        <f>'enrolment vs availed_UPY'!Q18</f>
        <v>11468820</v>
      </c>
      <c r="I19" s="408">
        <v>220</v>
      </c>
      <c r="J19" s="408">
        <f t="shared" si="2"/>
        <v>52131</v>
      </c>
      <c r="K19" s="402">
        <v>8603040</v>
      </c>
      <c r="L19" s="402">
        <v>811807.99999999988</v>
      </c>
      <c r="M19" s="402">
        <v>0</v>
      </c>
      <c r="N19" s="402">
        <v>3072.0000000000005</v>
      </c>
      <c r="O19" s="402">
        <v>9417920</v>
      </c>
      <c r="P19" s="147">
        <f t="shared" si="0"/>
        <v>-2050900</v>
      </c>
    </row>
    <row r="20" spans="1:16" ht="19.5" customHeight="1" x14ac:dyDescent="0.2">
      <c r="A20" s="144">
        <v>9</v>
      </c>
      <c r="B20" s="130" t="s">
        <v>655</v>
      </c>
      <c r="C20" s="406">
        <v>799</v>
      </c>
      <c r="D20" s="406">
        <v>61299</v>
      </c>
      <c r="E20" s="396">
        <v>220</v>
      </c>
      <c r="F20" s="407">
        <f t="shared" si="1"/>
        <v>13485780</v>
      </c>
      <c r="G20" s="406">
        <f>'AT3B_cvrg(Insti)_UPY '!L19+'AT3C_cvrg(Insti)_UPY '!L19</f>
        <v>739</v>
      </c>
      <c r="H20" s="408">
        <f>'enrolment vs availed_UPY'!Q19</f>
        <v>12020360</v>
      </c>
      <c r="I20" s="408">
        <v>220</v>
      </c>
      <c r="J20" s="408">
        <f t="shared" si="2"/>
        <v>54638</v>
      </c>
      <c r="K20" s="402">
        <v>9102040.2560000028</v>
      </c>
      <c r="L20" s="402">
        <v>507680</v>
      </c>
      <c r="M20" s="402">
        <v>104000</v>
      </c>
      <c r="N20" s="402">
        <v>9280</v>
      </c>
      <c r="O20" s="402">
        <v>9723000.2560000028</v>
      </c>
      <c r="P20" s="147">
        <f t="shared" si="0"/>
        <v>-2297359.7439999972</v>
      </c>
    </row>
    <row r="21" spans="1:16" ht="19.5" customHeight="1" x14ac:dyDescent="0.2">
      <c r="A21" s="144">
        <v>10</v>
      </c>
      <c r="B21" s="130" t="s">
        <v>656</v>
      </c>
      <c r="C21" s="406">
        <v>1095</v>
      </c>
      <c r="D21" s="406">
        <v>80018</v>
      </c>
      <c r="E21" s="396">
        <v>220</v>
      </c>
      <c r="F21" s="407">
        <f t="shared" si="1"/>
        <v>17603960</v>
      </c>
      <c r="G21" s="406">
        <f>'AT3B_cvrg(Insti)_UPY '!L20+'AT3C_cvrg(Insti)_UPY '!L20</f>
        <v>1075</v>
      </c>
      <c r="H21" s="408">
        <f>'enrolment vs availed_UPY'!Q20</f>
        <v>17079040</v>
      </c>
      <c r="I21" s="408">
        <v>220</v>
      </c>
      <c r="J21" s="408">
        <f t="shared" si="2"/>
        <v>77632</v>
      </c>
      <c r="K21" s="402">
        <v>12384766.099254763</v>
      </c>
      <c r="L21" s="402">
        <v>377707.23953069287</v>
      </c>
      <c r="M21" s="402">
        <v>0</v>
      </c>
      <c r="N21" s="402">
        <v>13526.661214546722</v>
      </c>
      <c r="O21" s="402">
        <v>12776000</v>
      </c>
      <c r="P21" s="147">
        <f t="shared" si="0"/>
        <v>-4303040</v>
      </c>
    </row>
    <row r="22" spans="1:16" ht="19.5" customHeight="1" x14ac:dyDescent="0.2">
      <c r="A22" s="144">
        <v>11</v>
      </c>
      <c r="B22" s="130" t="s">
        <v>657</v>
      </c>
      <c r="C22" s="406">
        <v>635</v>
      </c>
      <c r="D22" s="406">
        <v>61919</v>
      </c>
      <c r="E22" s="396">
        <v>220</v>
      </c>
      <c r="F22" s="407">
        <f t="shared" si="1"/>
        <v>13622180</v>
      </c>
      <c r="G22" s="406">
        <f>'AT3B_cvrg(Insti)_UPY '!L21+'AT3C_cvrg(Insti)_UPY '!L21</f>
        <v>709</v>
      </c>
      <c r="H22" s="408">
        <f>'enrolment vs availed_UPY'!Q21</f>
        <v>13227940</v>
      </c>
      <c r="I22" s="408">
        <v>220</v>
      </c>
      <c r="J22" s="408">
        <f t="shared" si="2"/>
        <v>60127</v>
      </c>
      <c r="K22" s="402">
        <v>8868320</v>
      </c>
      <c r="L22" s="402">
        <v>1065920</v>
      </c>
      <c r="M22" s="402">
        <v>0</v>
      </c>
      <c r="N22" s="402">
        <v>0</v>
      </c>
      <c r="O22" s="402">
        <v>9934240</v>
      </c>
      <c r="P22" s="147">
        <f t="shared" si="0"/>
        <v>-3293700</v>
      </c>
    </row>
    <row r="23" spans="1:16" ht="19.5" customHeight="1" x14ac:dyDescent="0.2">
      <c r="A23" s="144">
        <v>12</v>
      </c>
      <c r="B23" s="130" t="s">
        <v>658</v>
      </c>
      <c r="C23" s="406">
        <v>1121</v>
      </c>
      <c r="D23" s="406">
        <v>100876</v>
      </c>
      <c r="E23" s="396">
        <v>220</v>
      </c>
      <c r="F23" s="407">
        <f t="shared" si="1"/>
        <v>22192720</v>
      </c>
      <c r="G23" s="406">
        <f>'AT3B_cvrg(Insti)_UPY '!L22+'AT3C_cvrg(Insti)_UPY '!L22</f>
        <v>1131</v>
      </c>
      <c r="H23" s="408">
        <f>'enrolment vs availed_UPY'!Q22</f>
        <v>20220640</v>
      </c>
      <c r="I23" s="408">
        <v>220</v>
      </c>
      <c r="J23" s="408">
        <f t="shared" si="2"/>
        <v>91912</v>
      </c>
      <c r="K23" s="402"/>
      <c r="L23" s="402"/>
      <c r="M23" s="402"/>
      <c r="N23" s="402"/>
      <c r="O23" s="402"/>
    </row>
    <row r="24" spans="1:16" ht="19.5" customHeight="1" x14ac:dyDescent="0.2">
      <c r="A24" s="144">
        <v>13</v>
      </c>
      <c r="B24" s="130" t="s">
        <v>659</v>
      </c>
      <c r="C24" s="406">
        <v>925</v>
      </c>
      <c r="D24" s="406">
        <v>112021</v>
      </c>
      <c r="E24" s="396">
        <v>220</v>
      </c>
      <c r="F24" s="407">
        <f t="shared" si="1"/>
        <v>24644620</v>
      </c>
      <c r="G24" s="406">
        <f>'AT3B_cvrg(Insti)_UPY '!L23+'AT3C_cvrg(Insti)_UPY '!L23</f>
        <v>925</v>
      </c>
      <c r="H24" s="408">
        <f>'enrolment vs availed_UPY'!Q23</f>
        <v>23486980</v>
      </c>
      <c r="I24" s="408">
        <v>220</v>
      </c>
      <c r="J24" s="408">
        <f t="shared" si="2"/>
        <v>106759</v>
      </c>
      <c r="K24" s="402">
        <v>16836640</v>
      </c>
      <c r="L24" s="402">
        <v>793120</v>
      </c>
      <c r="M24" s="402">
        <v>3680</v>
      </c>
      <c r="N24" s="402">
        <v>31040</v>
      </c>
      <c r="O24" s="402">
        <f>SUM(K24:N24)</f>
        <v>17664480</v>
      </c>
    </row>
    <row r="25" spans="1:16" s="148" customFormat="1" ht="19.5" customHeight="1" x14ac:dyDescent="0.2">
      <c r="A25" s="1247" t="s">
        <v>13</v>
      </c>
      <c r="B25" s="1248"/>
      <c r="C25" s="409">
        <f>SUM(C12:C24)</f>
        <v>10965</v>
      </c>
      <c r="D25" s="409">
        <f>SUM(D12:D24)</f>
        <v>1004000.2543229541</v>
      </c>
      <c r="E25" s="409" t="s">
        <v>7</v>
      </c>
      <c r="F25" s="409">
        <f t="shared" ref="F25:H25" si="3">SUM(F12:F24)</f>
        <v>220880055.95104989</v>
      </c>
      <c r="G25" s="409">
        <f t="shared" si="3"/>
        <v>10629</v>
      </c>
      <c r="H25" s="409">
        <f t="shared" si="3"/>
        <v>212027200</v>
      </c>
      <c r="I25" s="969" t="s">
        <v>7</v>
      </c>
      <c r="J25" s="409">
        <f>SUM(J12:J24)</f>
        <v>963760</v>
      </c>
    </row>
    <row r="26" spans="1:16" x14ac:dyDescent="0.2">
      <c r="A26" s="403"/>
      <c r="B26" s="403"/>
      <c r="C26" s="403"/>
      <c r="D26" s="403"/>
      <c r="E26" s="403"/>
      <c r="F26" s="403"/>
      <c r="G26" s="403"/>
      <c r="H26" s="403"/>
      <c r="I26" s="403"/>
      <c r="J26" s="400"/>
    </row>
    <row r="27" spans="1:16" x14ac:dyDescent="0.2">
      <c r="A27" s="404"/>
      <c r="B27" s="405"/>
      <c r="C27" s="1059"/>
      <c r="D27" s="400"/>
      <c r="E27" s="400"/>
      <c r="F27" s="400"/>
      <c r="G27" s="400"/>
      <c r="H27" s="400"/>
      <c r="I27" s="400"/>
      <c r="J27" s="400"/>
    </row>
    <row r="28" spans="1:16" ht="62.25" customHeight="1" x14ac:dyDescent="0.2">
      <c r="A28" s="1230" t="s">
        <v>676</v>
      </c>
      <c r="B28" s="1230"/>
      <c r="C28" s="397"/>
      <c r="D28" s="398"/>
      <c r="E28" s="398"/>
      <c r="F28" s="399"/>
      <c r="G28" s="399"/>
      <c r="H28" s="1231" t="s">
        <v>646</v>
      </c>
      <c r="I28" s="1231"/>
      <c r="J28" s="1231"/>
    </row>
    <row r="30" spans="1:16" x14ac:dyDescent="0.2">
      <c r="A30" s="1242"/>
      <c r="B30" s="1242"/>
      <c r="C30" s="1242"/>
      <c r="D30" s="1242"/>
      <c r="E30" s="1242"/>
      <c r="F30" s="1242"/>
      <c r="G30" s="1242"/>
      <c r="H30" s="1242"/>
      <c r="I30" s="1242"/>
      <c r="J30" s="1242"/>
    </row>
  </sheetData>
  <mergeCells count="14">
    <mergeCell ref="E1:I1"/>
    <mergeCell ref="A2:J2"/>
    <mergeCell ref="A3:J3"/>
    <mergeCell ref="A5:J5"/>
    <mergeCell ref="A8:C8"/>
    <mergeCell ref="H8:J8"/>
    <mergeCell ref="A30:J30"/>
    <mergeCell ref="A9:A10"/>
    <mergeCell ref="B9:B10"/>
    <mergeCell ref="C9:F9"/>
    <mergeCell ref="G9:J9"/>
    <mergeCell ref="A25:B25"/>
    <mergeCell ref="A28:B28"/>
    <mergeCell ref="H28:J28"/>
  </mergeCells>
  <printOptions horizontalCentered="1"/>
  <pageMargins left="0.75" right="0.2" top="0.5" bottom="0.23" header="0.2" footer="0.2"/>
  <pageSetup paperSize="9" scale="96" orientation="landscape" r:id="rId1"/>
  <headerFooter>
    <oddFooter>&amp;CSheet-67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 tint="0.59999389629810485"/>
  </sheetPr>
  <dimension ref="A1:J31"/>
  <sheetViews>
    <sheetView view="pageBreakPreview" topLeftCell="A9" zoomScale="90" zoomScaleSheetLayoutView="90" workbookViewId="0">
      <selection activeCell="H12" sqref="H12:H25"/>
    </sheetView>
  </sheetViews>
  <sheetFormatPr defaultColWidth="9.140625" defaultRowHeight="16.5" x14ac:dyDescent="0.3"/>
  <cols>
    <col min="1" max="1" width="7.42578125" style="153" customWidth="1"/>
    <col min="2" max="2" width="17.140625" style="153" customWidth="1"/>
    <col min="3" max="3" width="11" style="153" customWidth="1"/>
    <col min="4" max="4" width="10" style="153" customWidth="1"/>
    <col min="5" max="5" width="13.140625" style="153" customWidth="1"/>
    <col min="6" max="6" width="14.28515625" style="153" customWidth="1"/>
    <col min="7" max="7" width="13.28515625" style="153" customWidth="1"/>
    <col min="8" max="8" width="14.7109375" style="153" customWidth="1"/>
    <col min="9" max="9" width="16.7109375" style="153" customWidth="1"/>
    <col min="10" max="10" width="19.28515625" style="153" customWidth="1"/>
    <col min="11" max="16384" width="9.140625" style="153"/>
  </cols>
  <sheetData>
    <row r="1" spans="1:10" x14ac:dyDescent="0.3">
      <c r="E1" s="1254"/>
      <c r="F1" s="1254"/>
      <c r="G1" s="1254"/>
      <c r="H1" s="1254"/>
      <c r="I1" s="1254"/>
      <c r="J1" s="154" t="s">
        <v>345</v>
      </c>
    </row>
    <row r="2" spans="1:10" x14ac:dyDescent="0.3">
      <c r="A2" s="1255" t="s">
        <v>0</v>
      </c>
      <c r="B2" s="1255"/>
      <c r="C2" s="1255"/>
      <c r="D2" s="1255"/>
      <c r="E2" s="1255"/>
      <c r="F2" s="1255"/>
      <c r="G2" s="1255"/>
      <c r="H2" s="1255"/>
      <c r="I2" s="1255"/>
      <c r="J2" s="1255"/>
    </row>
    <row r="3" spans="1:10" ht="18.75" x14ac:dyDescent="0.3">
      <c r="A3" s="1256" t="s">
        <v>793</v>
      </c>
      <c r="B3" s="1256"/>
      <c r="C3" s="1256"/>
      <c r="D3" s="1256"/>
      <c r="E3" s="1256"/>
      <c r="F3" s="1256"/>
      <c r="G3" s="1256"/>
      <c r="H3" s="1256"/>
      <c r="I3" s="1256"/>
      <c r="J3" s="1256"/>
    </row>
    <row r="4" spans="1:10" ht="14.25" customHeight="1" x14ac:dyDescent="0.3"/>
    <row r="5" spans="1:10" ht="19.5" customHeight="1" x14ac:dyDescent="0.3">
      <c r="A5" s="1257" t="s">
        <v>814</v>
      </c>
      <c r="B5" s="1257"/>
      <c r="C5" s="1257"/>
      <c r="D5" s="1257"/>
      <c r="E5" s="1257"/>
      <c r="F5" s="1257"/>
      <c r="G5" s="1257"/>
      <c r="H5" s="1257"/>
      <c r="I5" s="1257"/>
      <c r="J5" s="1257"/>
    </row>
    <row r="6" spans="1:10" ht="13.5" customHeight="1" x14ac:dyDescent="0.3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0.75" customHeight="1" x14ac:dyDescent="0.3"/>
    <row r="8" spans="1:10" ht="16.5" customHeight="1" x14ac:dyDescent="0.3">
      <c r="A8" s="1258" t="s">
        <v>661</v>
      </c>
      <c r="B8" s="1258"/>
      <c r="C8" s="1258"/>
      <c r="D8" s="104"/>
      <c r="E8" s="104"/>
      <c r="F8" s="104"/>
      <c r="G8" s="104"/>
      <c r="H8" s="1259" t="s">
        <v>967</v>
      </c>
      <c r="I8" s="1259"/>
      <c r="J8" s="1259"/>
    </row>
    <row r="9" spans="1:10" ht="16.5" customHeight="1" x14ac:dyDescent="0.3">
      <c r="A9" s="1105" t="s">
        <v>2</v>
      </c>
      <c r="B9" s="1105" t="s">
        <v>3</v>
      </c>
      <c r="C9" s="1261" t="s">
        <v>812</v>
      </c>
      <c r="D9" s="1262"/>
      <c r="E9" s="1262"/>
      <c r="F9" s="1263"/>
      <c r="G9" s="1108" t="s">
        <v>94</v>
      </c>
      <c r="H9" s="1264"/>
      <c r="I9" s="1264"/>
      <c r="J9" s="1109"/>
    </row>
    <row r="10" spans="1:10" ht="77.45" customHeight="1" x14ac:dyDescent="0.3">
      <c r="A10" s="1105"/>
      <c r="B10" s="1105"/>
      <c r="C10" s="121" t="s">
        <v>168</v>
      </c>
      <c r="D10" s="121" t="s">
        <v>11</v>
      </c>
      <c r="E10" s="138" t="s">
        <v>956</v>
      </c>
      <c r="F10" s="122" t="s">
        <v>185</v>
      </c>
      <c r="G10" s="121" t="s">
        <v>168</v>
      </c>
      <c r="H10" s="157" t="s">
        <v>12</v>
      </c>
      <c r="I10" s="158" t="s">
        <v>103</v>
      </c>
      <c r="J10" s="121" t="s">
        <v>186</v>
      </c>
    </row>
    <row r="11" spans="1:10" x14ac:dyDescent="0.3">
      <c r="A11" s="121">
        <v>1</v>
      </c>
      <c r="B11" s="121">
        <v>2</v>
      </c>
      <c r="C11" s="121">
        <v>3</v>
      </c>
      <c r="D11" s="121">
        <v>4</v>
      </c>
      <c r="E11" s="121">
        <v>5</v>
      </c>
      <c r="F11" s="122">
        <v>6</v>
      </c>
      <c r="G11" s="121">
        <v>7</v>
      </c>
      <c r="H11" s="123">
        <v>8</v>
      </c>
      <c r="I11" s="121">
        <v>9</v>
      </c>
      <c r="J11" s="121">
        <v>10</v>
      </c>
    </row>
    <row r="12" spans="1:10" ht="21" customHeight="1" x14ac:dyDescent="0.3">
      <c r="A12" s="125">
        <v>1</v>
      </c>
      <c r="B12" s="111" t="s">
        <v>647</v>
      </c>
      <c r="C12" s="95">
        <v>0</v>
      </c>
      <c r="D12" s="95">
        <v>0</v>
      </c>
      <c r="E12" s="396">
        <v>302</v>
      </c>
      <c r="F12" s="283">
        <f>D12*E12</f>
        <v>0</v>
      </c>
      <c r="G12" s="95">
        <f>'AT3A_cvrg(Insti)_PY'!J12</f>
        <v>0</v>
      </c>
      <c r="H12" s="95">
        <v>0</v>
      </c>
      <c r="I12" s="95">
        <v>302</v>
      </c>
      <c r="J12" s="95">
        <f>H12/I12</f>
        <v>0</v>
      </c>
    </row>
    <row r="13" spans="1:10" ht="21" customHeight="1" x14ac:dyDescent="0.3">
      <c r="A13" s="125">
        <v>2</v>
      </c>
      <c r="B13" s="111" t="s">
        <v>648</v>
      </c>
      <c r="C13" s="95">
        <v>0</v>
      </c>
      <c r="D13" s="95">
        <v>0</v>
      </c>
      <c r="E13" s="396">
        <v>302</v>
      </c>
      <c r="F13" s="283">
        <f t="shared" ref="F13:F24" si="0">D13*E13</f>
        <v>0</v>
      </c>
      <c r="G13" s="95">
        <f>'AT3A_cvrg(Insti)_PY'!J13</f>
        <v>0</v>
      </c>
      <c r="H13" s="95">
        <v>0</v>
      </c>
      <c r="I13" s="95">
        <v>302</v>
      </c>
      <c r="J13" s="95">
        <f t="shared" ref="J13:J24" si="1">H13/I13</f>
        <v>0</v>
      </c>
    </row>
    <row r="14" spans="1:10" ht="21" customHeight="1" x14ac:dyDescent="0.3">
      <c r="A14" s="125">
        <v>3</v>
      </c>
      <c r="B14" s="111" t="s">
        <v>649</v>
      </c>
      <c r="C14" s="95">
        <v>0</v>
      </c>
      <c r="D14" s="95">
        <v>0</v>
      </c>
      <c r="E14" s="396">
        <v>302</v>
      </c>
      <c r="F14" s="283">
        <f t="shared" si="0"/>
        <v>0</v>
      </c>
      <c r="G14" s="95">
        <f>'AT3A_cvrg(Insti)_PY'!J14</f>
        <v>0</v>
      </c>
      <c r="H14" s="95">
        <v>0</v>
      </c>
      <c r="I14" s="95">
        <v>302</v>
      </c>
      <c r="J14" s="95">
        <f t="shared" si="1"/>
        <v>0</v>
      </c>
    </row>
    <row r="15" spans="1:10" s="315" customFormat="1" ht="21" customHeight="1" x14ac:dyDescent="0.3">
      <c r="A15" s="314">
        <v>4</v>
      </c>
      <c r="B15" s="130" t="s">
        <v>650</v>
      </c>
      <c r="C15" s="283">
        <v>0</v>
      </c>
      <c r="D15" s="283">
        <v>0</v>
      </c>
      <c r="E15" s="396">
        <v>302</v>
      </c>
      <c r="F15" s="283">
        <f t="shared" si="0"/>
        <v>0</v>
      </c>
      <c r="G15" s="95">
        <f>'AT3A_cvrg(Insti)_PY'!J15</f>
        <v>0</v>
      </c>
      <c r="H15" s="283">
        <v>0</v>
      </c>
      <c r="I15" s="95">
        <v>302</v>
      </c>
      <c r="J15" s="95">
        <f t="shared" si="1"/>
        <v>0</v>
      </c>
    </row>
    <row r="16" spans="1:10" ht="21" customHeight="1" x14ac:dyDescent="0.3">
      <c r="A16" s="125">
        <v>5</v>
      </c>
      <c r="B16" s="111" t="s">
        <v>651</v>
      </c>
      <c r="C16" s="95">
        <v>10</v>
      </c>
      <c r="D16" s="95">
        <v>873</v>
      </c>
      <c r="E16" s="396">
        <v>302</v>
      </c>
      <c r="F16" s="283">
        <f t="shared" si="0"/>
        <v>263646</v>
      </c>
      <c r="G16" s="95">
        <f>'AT3A_cvrg(Insti)_PY'!J16</f>
        <v>12</v>
      </c>
      <c r="H16" s="95">
        <v>295054</v>
      </c>
      <c r="I16" s="95">
        <v>302</v>
      </c>
      <c r="J16" s="95">
        <f t="shared" si="1"/>
        <v>977</v>
      </c>
    </row>
    <row r="17" spans="1:10" ht="21" customHeight="1" x14ac:dyDescent="0.3">
      <c r="A17" s="125">
        <v>6</v>
      </c>
      <c r="B17" s="111" t="s">
        <v>652</v>
      </c>
      <c r="C17" s="95">
        <v>10</v>
      </c>
      <c r="D17" s="95">
        <v>168</v>
      </c>
      <c r="E17" s="396">
        <v>302</v>
      </c>
      <c r="F17" s="283">
        <f t="shared" si="0"/>
        <v>50736</v>
      </c>
      <c r="G17" s="95">
        <f>'AT3A_cvrg(Insti)_PY'!J17</f>
        <v>7</v>
      </c>
      <c r="H17" s="95">
        <v>32314</v>
      </c>
      <c r="I17" s="95">
        <v>302</v>
      </c>
      <c r="J17" s="95">
        <f t="shared" si="1"/>
        <v>107</v>
      </c>
    </row>
    <row r="18" spans="1:10" ht="21" customHeight="1" x14ac:dyDescent="0.3">
      <c r="A18" s="125">
        <v>7</v>
      </c>
      <c r="B18" s="111" t="s">
        <v>653</v>
      </c>
      <c r="C18" s="95">
        <v>19</v>
      </c>
      <c r="D18" s="95">
        <v>572</v>
      </c>
      <c r="E18" s="396">
        <v>302</v>
      </c>
      <c r="F18" s="283">
        <f t="shared" si="0"/>
        <v>172744</v>
      </c>
      <c r="G18" s="95">
        <f>'AT3A_cvrg(Insti)_PY'!J18</f>
        <v>20</v>
      </c>
      <c r="H18" s="95">
        <v>664400</v>
      </c>
      <c r="I18" s="95">
        <v>302</v>
      </c>
      <c r="J18" s="95">
        <f t="shared" si="1"/>
        <v>2200</v>
      </c>
    </row>
    <row r="19" spans="1:10" ht="21" customHeight="1" x14ac:dyDescent="0.3">
      <c r="A19" s="125">
        <v>8</v>
      </c>
      <c r="B19" s="111" t="s">
        <v>654</v>
      </c>
      <c r="C19" s="95">
        <v>0</v>
      </c>
      <c r="D19" s="95">
        <v>0</v>
      </c>
      <c r="E19" s="396">
        <v>302</v>
      </c>
      <c r="F19" s="283">
        <f t="shared" si="0"/>
        <v>0</v>
      </c>
      <c r="G19" s="95">
        <f>'AT3A_cvrg(Insti)_PY'!J19</f>
        <v>0</v>
      </c>
      <c r="H19" s="95">
        <v>0</v>
      </c>
      <c r="I19" s="95">
        <v>302</v>
      </c>
      <c r="J19" s="95">
        <f t="shared" si="1"/>
        <v>0</v>
      </c>
    </row>
    <row r="20" spans="1:10" ht="21" customHeight="1" x14ac:dyDescent="0.3">
      <c r="A20" s="125">
        <v>9</v>
      </c>
      <c r="B20" s="111" t="s">
        <v>655</v>
      </c>
      <c r="C20" s="95">
        <v>21</v>
      </c>
      <c r="D20" s="95">
        <v>659</v>
      </c>
      <c r="E20" s="396">
        <v>302</v>
      </c>
      <c r="F20" s="283">
        <f t="shared" si="0"/>
        <v>199018</v>
      </c>
      <c r="G20" s="95">
        <f>'AT3A_cvrg(Insti)_PY'!J20</f>
        <v>21</v>
      </c>
      <c r="H20" s="95">
        <v>111136</v>
      </c>
      <c r="I20" s="95">
        <v>302</v>
      </c>
      <c r="J20" s="95">
        <f t="shared" si="1"/>
        <v>368</v>
      </c>
    </row>
    <row r="21" spans="1:10" ht="21" customHeight="1" x14ac:dyDescent="0.3">
      <c r="A21" s="125">
        <v>10</v>
      </c>
      <c r="B21" s="111" t="s">
        <v>656</v>
      </c>
      <c r="C21" s="95">
        <v>0</v>
      </c>
      <c r="D21" s="95">
        <v>0</v>
      </c>
      <c r="E21" s="396">
        <v>302</v>
      </c>
      <c r="F21" s="283">
        <f t="shared" si="0"/>
        <v>0</v>
      </c>
      <c r="G21" s="95">
        <f>'AT3A_cvrg(Insti)_PY'!J21</f>
        <v>0</v>
      </c>
      <c r="H21" s="289">
        <v>0</v>
      </c>
      <c r="I21" s="95">
        <v>302</v>
      </c>
      <c r="J21" s="95">
        <f t="shared" si="1"/>
        <v>0</v>
      </c>
    </row>
    <row r="22" spans="1:10" ht="21" customHeight="1" x14ac:dyDescent="0.3">
      <c r="A22" s="125">
        <v>11</v>
      </c>
      <c r="B22" s="111" t="s">
        <v>657</v>
      </c>
      <c r="C22" s="95">
        <v>0</v>
      </c>
      <c r="D22" s="95">
        <v>0</v>
      </c>
      <c r="E22" s="396">
        <v>302</v>
      </c>
      <c r="F22" s="283">
        <f t="shared" si="0"/>
        <v>0</v>
      </c>
      <c r="G22" s="95">
        <f>'AT3A_cvrg(Insti)_PY'!J22</f>
        <v>0</v>
      </c>
      <c r="H22" s="95">
        <v>0</v>
      </c>
      <c r="I22" s="95">
        <v>302</v>
      </c>
      <c r="J22" s="95">
        <f t="shared" si="1"/>
        <v>0</v>
      </c>
    </row>
    <row r="23" spans="1:10" ht="21" customHeight="1" x14ac:dyDescent="0.3">
      <c r="A23" s="125">
        <v>12</v>
      </c>
      <c r="B23" s="111" t="s">
        <v>658</v>
      </c>
      <c r="C23" s="95">
        <v>0</v>
      </c>
      <c r="D23" s="95">
        <v>0</v>
      </c>
      <c r="E23" s="396">
        <v>302</v>
      </c>
      <c r="F23" s="283">
        <f t="shared" si="0"/>
        <v>0</v>
      </c>
      <c r="G23" s="95">
        <f>'AT3A_cvrg(Insti)_PY'!J23</f>
        <v>0</v>
      </c>
      <c r="H23" s="95">
        <v>0</v>
      </c>
      <c r="I23" s="95">
        <v>302</v>
      </c>
      <c r="J23" s="95">
        <f t="shared" si="1"/>
        <v>0</v>
      </c>
    </row>
    <row r="24" spans="1:10" ht="21" customHeight="1" x14ac:dyDescent="0.3">
      <c r="A24" s="125">
        <v>13</v>
      </c>
      <c r="B24" s="111" t="s">
        <v>659</v>
      </c>
      <c r="C24" s="95">
        <v>4</v>
      </c>
      <c r="D24" s="95">
        <v>200</v>
      </c>
      <c r="E24" s="396">
        <v>302</v>
      </c>
      <c r="F24" s="283">
        <f t="shared" si="0"/>
        <v>60400</v>
      </c>
      <c r="G24" s="95">
        <f>'AT3A_cvrg(Insti)_PY'!J24</f>
        <v>4</v>
      </c>
      <c r="H24" s="95">
        <v>55870</v>
      </c>
      <c r="I24" s="95">
        <v>302</v>
      </c>
      <c r="J24" s="95">
        <f t="shared" si="1"/>
        <v>185</v>
      </c>
    </row>
    <row r="25" spans="1:10" s="160" customFormat="1" ht="21" customHeight="1" x14ac:dyDescent="0.25">
      <c r="A25" s="1108" t="s">
        <v>13</v>
      </c>
      <c r="B25" s="1109"/>
      <c r="C25" s="96">
        <f>SUM(C12:C24)</f>
        <v>64</v>
      </c>
      <c r="D25" s="96">
        <f t="shared" ref="D25:J25" si="2">SUM(D12:D24)</f>
        <v>2472</v>
      </c>
      <c r="E25" s="96" t="s">
        <v>7</v>
      </c>
      <c r="F25" s="96">
        <f>SUM(F12:F24)</f>
        <v>746544</v>
      </c>
      <c r="G25" s="96">
        <f t="shared" si="2"/>
        <v>64</v>
      </c>
      <c r="H25" s="96">
        <f t="shared" si="2"/>
        <v>1158774</v>
      </c>
      <c r="I25" s="96" t="s">
        <v>7</v>
      </c>
      <c r="J25" s="96">
        <f t="shared" si="2"/>
        <v>3837</v>
      </c>
    </row>
    <row r="26" spans="1:10" x14ac:dyDescent="0.3">
      <c r="A26" s="161"/>
      <c r="B26" s="162"/>
      <c r="C26" s="162"/>
      <c r="D26" s="156"/>
      <c r="E26" s="156"/>
      <c r="F26" s="156"/>
      <c r="G26" s="156"/>
      <c r="H26" s="156"/>
      <c r="I26" s="156"/>
      <c r="J26" s="156"/>
    </row>
    <row r="27" spans="1:10" ht="69" customHeight="1" x14ac:dyDescent="0.3">
      <c r="A27" s="1265" t="s">
        <v>677</v>
      </c>
      <c r="B27" s="1265"/>
      <c r="C27" s="150"/>
      <c r="D27" s="151"/>
      <c r="E27" s="151"/>
      <c r="F27" s="152"/>
      <c r="G27" s="152"/>
      <c r="H27" s="1266" t="s">
        <v>646</v>
      </c>
      <c r="I27" s="1266"/>
      <c r="J27" s="1266"/>
    </row>
    <row r="29" spans="1:10" x14ac:dyDescent="0.3">
      <c r="A29" s="1260"/>
      <c r="B29" s="1260"/>
      <c r="C29" s="1260"/>
      <c r="D29" s="1260"/>
      <c r="E29" s="1260"/>
      <c r="F29" s="1260"/>
      <c r="G29" s="1260"/>
      <c r="H29" s="1260"/>
      <c r="I29" s="1260"/>
      <c r="J29" s="1260"/>
    </row>
    <row r="31" spans="1:10" x14ac:dyDescent="0.3">
      <c r="A31" s="1260"/>
      <c r="B31" s="1260"/>
      <c r="C31" s="1260"/>
      <c r="D31" s="1260"/>
      <c r="E31" s="1260"/>
      <c r="F31" s="1260"/>
      <c r="G31" s="1260"/>
      <c r="H31" s="1260"/>
      <c r="I31" s="1260"/>
      <c r="J31" s="1260"/>
    </row>
  </sheetData>
  <mergeCells count="15">
    <mergeCell ref="A29:J29"/>
    <mergeCell ref="A31:J31"/>
    <mergeCell ref="A9:A10"/>
    <mergeCell ref="B9:B10"/>
    <mergeCell ref="C9:F9"/>
    <mergeCell ref="G9:J9"/>
    <mergeCell ref="A25:B25"/>
    <mergeCell ref="A27:B27"/>
    <mergeCell ref="H27:J27"/>
    <mergeCell ref="E1:I1"/>
    <mergeCell ref="A2:J2"/>
    <mergeCell ref="A3:J3"/>
    <mergeCell ref="A5:J5"/>
    <mergeCell ref="A8:C8"/>
    <mergeCell ref="H8:J8"/>
  </mergeCells>
  <printOptions horizontalCentered="1"/>
  <pageMargins left="0.7" right="0.2" top="0.25" bottom="0.25" header="0.2" footer="0.2"/>
  <pageSetup paperSize="9" scale="95" orientation="landscape" r:id="rId1"/>
  <headerFooter>
    <oddFooter>&amp;CSheet-68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59999389629810485"/>
  </sheetPr>
  <dimension ref="A1:L29"/>
  <sheetViews>
    <sheetView view="pageBreakPreview" topLeftCell="A9" zoomScale="90" zoomScaleSheetLayoutView="90" workbookViewId="0">
      <selection activeCell="K9" sqref="K1:K1048576"/>
    </sheetView>
  </sheetViews>
  <sheetFormatPr defaultColWidth="9.140625" defaultRowHeight="13.5" x14ac:dyDescent="0.25"/>
  <cols>
    <col min="1" max="1" width="7.42578125" style="163" customWidth="1"/>
    <col min="2" max="2" width="17.140625" style="163" customWidth="1"/>
    <col min="3" max="3" width="11" style="163" customWidth="1"/>
    <col min="4" max="4" width="10" style="163" customWidth="1"/>
    <col min="5" max="5" width="13.140625" style="163" customWidth="1"/>
    <col min="6" max="6" width="15.140625" style="163" customWidth="1"/>
    <col min="7" max="7" width="13.28515625" style="163" customWidth="1"/>
    <col min="8" max="8" width="14.7109375" style="163" customWidth="1"/>
    <col min="9" max="9" width="16.7109375" style="163" customWidth="1"/>
    <col min="10" max="10" width="19.28515625" style="163" customWidth="1"/>
    <col min="11" max="16384" width="9.140625" style="163"/>
  </cols>
  <sheetData>
    <row r="1" spans="1:12" ht="15" x14ac:dyDescent="0.3">
      <c r="E1" s="1267"/>
      <c r="F1" s="1267"/>
      <c r="G1" s="1267"/>
      <c r="H1" s="1267"/>
      <c r="I1" s="1267"/>
      <c r="J1" s="164" t="s">
        <v>344</v>
      </c>
    </row>
    <row r="2" spans="1:12" ht="15.75" x14ac:dyDescent="0.25">
      <c r="A2" s="1268" t="s">
        <v>0</v>
      </c>
      <c r="B2" s="1268"/>
      <c r="C2" s="1268"/>
      <c r="D2" s="1268"/>
      <c r="E2" s="1268"/>
      <c r="F2" s="1268"/>
      <c r="G2" s="1268"/>
      <c r="H2" s="1268"/>
      <c r="I2" s="1268"/>
      <c r="J2" s="1268"/>
    </row>
    <row r="3" spans="1:12" ht="20.25" x14ac:dyDescent="0.3">
      <c r="A3" s="1269" t="s">
        <v>793</v>
      </c>
      <c r="B3" s="1269"/>
      <c r="C3" s="1269"/>
      <c r="D3" s="1269"/>
      <c r="E3" s="1269"/>
      <c r="F3" s="1269"/>
      <c r="G3" s="1269"/>
      <c r="H3" s="1269"/>
      <c r="I3" s="1269"/>
      <c r="J3" s="1269"/>
    </row>
    <row r="4" spans="1:12" ht="14.25" customHeight="1" x14ac:dyDescent="0.25"/>
    <row r="5" spans="1:12" ht="31.5" customHeight="1" x14ac:dyDescent="0.25">
      <c r="A5" s="1270" t="s">
        <v>815</v>
      </c>
      <c r="B5" s="1270"/>
      <c r="C5" s="1270"/>
      <c r="D5" s="1270"/>
      <c r="E5" s="1270"/>
      <c r="F5" s="1270"/>
      <c r="G5" s="1270"/>
      <c r="H5" s="1270"/>
      <c r="I5" s="1270"/>
      <c r="J5" s="1270"/>
    </row>
    <row r="6" spans="1:12" ht="13.5" customHeight="1" x14ac:dyDescent="0.3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2" ht="0.75" customHeight="1" x14ac:dyDescent="0.25"/>
    <row r="8" spans="1:12" ht="15" x14ac:dyDescent="0.3">
      <c r="A8" s="1271" t="s">
        <v>661</v>
      </c>
      <c r="B8" s="1271"/>
      <c r="C8" s="1271"/>
      <c r="H8" s="1272" t="s">
        <v>967</v>
      </c>
      <c r="I8" s="1272"/>
      <c r="J8" s="1272"/>
    </row>
    <row r="9" spans="1:12" s="166" customFormat="1" ht="16.5" x14ac:dyDescent="0.2">
      <c r="A9" s="1274" t="s">
        <v>2</v>
      </c>
      <c r="B9" s="1274" t="s">
        <v>3</v>
      </c>
      <c r="C9" s="1275" t="s">
        <v>812</v>
      </c>
      <c r="D9" s="1276"/>
      <c r="E9" s="1276"/>
      <c r="F9" s="1277"/>
      <c r="G9" s="1275" t="s">
        <v>94</v>
      </c>
      <c r="H9" s="1276"/>
      <c r="I9" s="1276"/>
      <c r="J9" s="1277"/>
    </row>
    <row r="10" spans="1:12" s="166" customFormat="1" ht="61.5" customHeight="1" x14ac:dyDescent="0.2">
      <c r="A10" s="1274"/>
      <c r="B10" s="1274"/>
      <c r="C10" s="167" t="s">
        <v>168</v>
      </c>
      <c r="D10" s="167" t="s">
        <v>11</v>
      </c>
      <c r="E10" s="168" t="s">
        <v>678</v>
      </c>
      <c r="F10" s="168" t="s">
        <v>185</v>
      </c>
      <c r="G10" s="167" t="s">
        <v>168</v>
      </c>
      <c r="H10" s="169" t="s">
        <v>12</v>
      </c>
      <c r="I10" s="170" t="s">
        <v>103</v>
      </c>
      <c r="J10" s="167" t="s">
        <v>186</v>
      </c>
    </row>
    <row r="11" spans="1:12" s="166" customFormat="1" ht="16.5" x14ac:dyDescent="0.2">
      <c r="A11" s="167">
        <v>1</v>
      </c>
      <c r="B11" s="167">
        <v>2</v>
      </c>
      <c r="C11" s="167">
        <v>3</v>
      </c>
      <c r="D11" s="167">
        <v>4</v>
      </c>
      <c r="E11" s="167">
        <v>5</v>
      </c>
      <c r="F11" s="168">
        <v>6</v>
      </c>
      <c r="G11" s="167">
        <v>7</v>
      </c>
      <c r="H11" s="171">
        <v>8</v>
      </c>
      <c r="I11" s="167">
        <v>9</v>
      </c>
      <c r="J11" s="167">
        <v>10</v>
      </c>
    </row>
    <row r="12" spans="1:12" s="166" customFormat="1" ht="21.75" customHeight="1" x14ac:dyDescent="0.2">
      <c r="A12" s="172">
        <v>1</v>
      </c>
      <c r="B12" s="173" t="s">
        <v>647</v>
      </c>
      <c r="C12" s="174">
        <v>962</v>
      </c>
      <c r="D12" s="174">
        <v>38467</v>
      </c>
      <c r="E12" s="174">
        <v>40</v>
      </c>
      <c r="F12" s="174">
        <f>D12*E12</f>
        <v>1538680</v>
      </c>
      <c r="G12" s="174">
        <v>891</v>
      </c>
      <c r="H12" s="174">
        <v>1952360</v>
      </c>
      <c r="I12" s="174">
        <v>40</v>
      </c>
      <c r="J12" s="174">
        <f>H12/I12</f>
        <v>48809</v>
      </c>
    </row>
    <row r="13" spans="1:12" s="166" customFormat="1" ht="21.75" customHeight="1" x14ac:dyDescent="0.2">
      <c r="A13" s="172">
        <v>2</v>
      </c>
      <c r="B13" s="173" t="s">
        <v>648</v>
      </c>
      <c r="C13" s="174">
        <v>322</v>
      </c>
      <c r="D13" s="174">
        <v>0</v>
      </c>
      <c r="E13" s="174">
        <v>40</v>
      </c>
      <c r="F13" s="174">
        <f t="shared" ref="F13:F23" si="0">D13*E13</f>
        <v>0</v>
      </c>
      <c r="G13" s="174">
        <v>322</v>
      </c>
      <c r="H13" s="174">
        <v>733880</v>
      </c>
      <c r="I13" s="174">
        <v>40</v>
      </c>
      <c r="J13" s="174">
        <v>18347</v>
      </c>
    </row>
    <row r="14" spans="1:12" s="166" customFormat="1" ht="21.75" customHeight="1" x14ac:dyDescent="0.2">
      <c r="A14" s="172">
        <v>3</v>
      </c>
      <c r="B14" s="173" t="s">
        <v>649</v>
      </c>
      <c r="C14" s="174">
        <v>0</v>
      </c>
      <c r="D14" s="174">
        <v>0</v>
      </c>
      <c r="E14" s="174">
        <v>40</v>
      </c>
      <c r="F14" s="174">
        <f t="shared" si="0"/>
        <v>0</v>
      </c>
      <c r="G14" s="174">
        <v>0</v>
      </c>
      <c r="H14" s="174">
        <v>0</v>
      </c>
      <c r="I14" s="174">
        <v>40</v>
      </c>
      <c r="J14" s="174">
        <f t="shared" ref="J14:J18" si="1">H14/I14</f>
        <v>0</v>
      </c>
    </row>
    <row r="15" spans="1:12" s="313" customFormat="1" ht="21.75" customHeight="1" x14ac:dyDescent="0.2">
      <c r="A15" s="311">
        <v>4</v>
      </c>
      <c r="B15" s="218" t="s">
        <v>650</v>
      </c>
      <c r="C15" s="174">
        <v>0</v>
      </c>
      <c r="D15" s="174">
        <v>0</v>
      </c>
      <c r="E15" s="174">
        <v>40</v>
      </c>
      <c r="F15" s="174">
        <f t="shared" si="0"/>
        <v>0</v>
      </c>
      <c r="G15" s="174">
        <v>0</v>
      </c>
      <c r="H15" s="174">
        <v>0</v>
      </c>
      <c r="I15" s="174">
        <v>40</v>
      </c>
      <c r="J15" s="174">
        <f t="shared" si="1"/>
        <v>0</v>
      </c>
      <c r="K15" s="166"/>
      <c r="L15" s="166"/>
    </row>
    <row r="16" spans="1:12" s="166" customFormat="1" ht="21.75" customHeight="1" x14ac:dyDescent="0.2">
      <c r="A16" s="172">
        <v>5</v>
      </c>
      <c r="B16" s="173" t="s">
        <v>651</v>
      </c>
      <c r="C16" s="312">
        <v>0</v>
      </c>
      <c r="D16" s="312">
        <v>0</v>
      </c>
      <c r="E16" s="174">
        <v>40</v>
      </c>
      <c r="F16" s="174">
        <f t="shared" si="0"/>
        <v>0</v>
      </c>
      <c r="G16" s="312">
        <v>0</v>
      </c>
      <c r="H16" s="312">
        <v>0</v>
      </c>
      <c r="I16" s="174">
        <v>40</v>
      </c>
      <c r="J16" s="174">
        <f t="shared" si="1"/>
        <v>0</v>
      </c>
    </row>
    <row r="17" spans="1:10" s="166" customFormat="1" ht="21.75" customHeight="1" x14ac:dyDescent="0.2">
      <c r="A17" s="172">
        <v>6</v>
      </c>
      <c r="B17" s="173" t="s">
        <v>652</v>
      </c>
      <c r="C17" s="312">
        <v>0</v>
      </c>
      <c r="D17" s="312">
        <v>0</v>
      </c>
      <c r="E17" s="174">
        <v>40</v>
      </c>
      <c r="F17" s="174">
        <f t="shared" si="0"/>
        <v>0</v>
      </c>
      <c r="G17" s="312">
        <v>0</v>
      </c>
      <c r="H17" s="312">
        <v>0</v>
      </c>
      <c r="I17" s="174">
        <v>40</v>
      </c>
      <c r="J17" s="174">
        <f t="shared" si="1"/>
        <v>0</v>
      </c>
    </row>
    <row r="18" spans="1:10" s="166" customFormat="1" ht="21.75" customHeight="1" x14ac:dyDescent="0.2">
      <c r="A18" s="172">
        <v>7</v>
      </c>
      <c r="B18" s="173" t="s">
        <v>653</v>
      </c>
      <c r="C18" s="312">
        <v>0</v>
      </c>
      <c r="D18" s="312">
        <v>0</v>
      </c>
      <c r="E18" s="174">
        <v>40</v>
      </c>
      <c r="F18" s="174">
        <f t="shared" si="0"/>
        <v>0</v>
      </c>
      <c r="G18" s="312">
        <v>0</v>
      </c>
      <c r="H18" s="312">
        <v>0</v>
      </c>
      <c r="I18" s="174">
        <v>40</v>
      </c>
      <c r="J18" s="174">
        <f t="shared" si="1"/>
        <v>0</v>
      </c>
    </row>
    <row r="19" spans="1:10" s="166" customFormat="1" ht="21.75" customHeight="1" x14ac:dyDescent="0.2">
      <c r="A19" s="172">
        <v>8</v>
      </c>
      <c r="B19" s="173" t="s">
        <v>654</v>
      </c>
      <c r="C19" s="174">
        <v>2551</v>
      </c>
      <c r="D19" s="174">
        <v>115547</v>
      </c>
      <c r="E19" s="174">
        <v>40</v>
      </c>
      <c r="F19" s="174">
        <f t="shared" si="0"/>
        <v>4621880</v>
      </c>
      <c r="G19" s="174">
        <v>2595</v>
      </c>
      <c r="H19" s="174">
        <v>1170214</v>
      </c>
      <c r="I19" s="174">
        <v>40</v>
      </c>
      <c r="J19" s="174">
        <v>29254</v>
      </c>
    </row>
    <row r="20" spans="1:10" s="166" customFormat="1" ht="21.75" customHeight="1" x14ac:dyDescent="0.2">
      <c r="A20" s="172">
        <v>9</v>
      </c>
      <c r="B20" s="173" t="s">
        <v>655</v>
      </c>
      <c r="C20" s="174">
        <v>1386</v>
      </c>
      <c r="D20" s="174">
        <v>74659</v>
      </c>
      <c r="E20" s="174">
        <v>40</v>
      </c>
      <c r="F20" s="174">
        <f t="shared" si="0"/>
        <v>2986360</v>
      </c>
      <c r="G20" s="174">
        <v>1386</v>
      </c>
      <c r="H20" s="174">
        <v>1835720</v>
      </c>
      <c r="I20" s="174">
        <v>40</v>
      </c>
      <c r="J20" s="174">
        <v>45893</v>
      </c>
    </row>
    <row r="21" spans="1:10" s="166" customFormat="1" ht="21.75" customHeight="1" x14ac:dyDescent="0.2">
      <c r="A21" s="172">
        <v>10</v>
      </c>
      <c r="B21" s="173" t="s">
        <v>656</v>
      </c>
      <c r="C21" s="174">
        <v>3701</v>
      </c>
      <c r="D21" s="174">
        <v>126770</v>
      </c>
      <c r="E21" s="174">
        <v>40</v>
      </c>
      <c r="F21" s="174">
        <f t="shared" si="0"/>
        <v>5070800</v>
      </c>
      <c r="G21" s="963">
        <v>3681</v>
      </c>
      <c r="H21" s="174">
        <v>3409264</v>
      </c>
      <c r="I21" s="174">
        <v>40</v>
      </c>
      <c r="J21" s="174">
        <v>85232</v>
      </c>
    </row>
    <row r="22" spans="1:10" s="166" customFormat="1" ht="21.75" customHeight="1" x14ac:dyDescent="0.2">
      <c r="A22" s="172">
        <v>11</v>
      </c>
      <c r="B22" s="173" t="s">
        <v>657</v>
      </c>
      <c r="C22" s="174">
        <v>1515</v>
      </c>
      <c r="D22" s="174">
        <v>111250</v>
      </c>
      <c r="E22" s="174">
        <v>40</v>
      </c>
      <c r="F22" s="174">
        <f t="shared" si="0"/>
        <v>4450000</v>
      </c>
      <c r="G22" s="174">
        <v>1515</v>
      </c>
      <c r="H22" s="174">
        <v>2039080</v>
      </c>
      <c r="I22" s="174">
        <v>40</v>
      </c>
      <c r="J22" s="174">
        <v>50977</v>
      </c>
    </row>
    <row r="23" spans="1:10" s="166" customFormat="1" ht="21.75" customHeight="1" x14ac:dyDescent="0.2">
      <c r="A23" s="172">
        <v>12</v>
      </c>
      <c r="B23" s="173" t="s">
        <v>658</v>
      </c>
      <c r="C23" s="174">
        <v>2708</v>
      </c>
      <c r="D23" s="174">
        <v>165717</v>
      </c>
      <c r="E23" s="174">
        <v>40</v>
      </c>
      <c r="F23" s="174">
        <f t="shared" si="0"/>
        <v>6628680</v>
      </c>
      <c r="G23" s="174">
        <v>2687</v>
      </c>
      <c r="H23" s="174">
        <v>5564200</v>
      </c>
      <c r="I23" s="174">
        <v>40</v>
      </c>
      <c r="J23" s="174">
        <v>139105.00000000003</v>
      </c>
    </row>
    <row r="24" spans="1:10" s="166" customFormat="1" ht="21.75" customHeight="1" x14ac:dyDescent="0.2">
      <c r="A24" s="172">
        <v>13</v>
      </c>
      <c r="B24" s="173" t="s">
        <v>659</v>
      </c>
      <c r="C24" s="174">
        <v>1167</v>
      </c>
      <c r="D24" s="174">
        <v>154703</v>
      </c>
      <c r="E24" s="174">
        <v>40</v>
      </c>
      <c r="F24" s="174">
        <f>D24*E24</f>
        <v>6188120</v>
      </c>
      <c r="G24" s="174">
        <v>1167</v>
      </c>
      <c r="H24" s="174">
        <f>F24</f>
        <v>6188120</v>
      </c>
      <c r="I24" s="174">
        <v>40</v>
      </c>
      <c r="J24" s="174">
        <f>H24/I24</f>
        <v>154703</v>
      </c>
    </row>
    <row r="25" spans="1:10" s="176" customFormat="1" ht="21.75" customHeight="1" x14ac:dyDescent="0.2">
      <c r="A25" s="1275" t="s">
        <v>660</v>
      </c>
      <c r="B25" s="1277"/>
      <c r="C25" s="804">
        <f>SUM(C12:C24)</f>
        <v>14312</v>
      </c>
      <c r="D25" s="804">
        <f>SUM(D12:D24)</f>
        <v>787113</v>
      </c>
      <c r="E25" s="804" t="s">
        <v>7</v>
      </c>
      <c r="F25" s="804">
        <f>SUM(F12:F24)</f>
        <v>31484520</v>
      </c>
      <c r="G25" s="804">
        <f>SUM(G12:G24)</f>
        <v>14244</v>
      </c>
      <c r="H25" s="804">
        <f>SUM(H12:H24)</f>
        <v>22892838</v>
      </c>
      <c r="I25" s="804">
        <v>40</v>
      </c>
      <c r="J25" s="805">
        <f>SUM(J12:J24)</f>
        <v>572320</v>
      </c>
    </row>
    <row r="26" spans="1:10" ht="12" customHeight="1" x14ac:dyDescent="0.3">
      <c r="A26" s="177"/>
      <c r="B26" s="178"/>
      <c r="C26" s="178"/>
      <c r="D26" s="179"/>
      <c r="E26" s="179"/>
      <c r="F26" s="179"/>
      <c r="G26" s="179"/>
      <c r="H26" s="179"/>
      <c r="I26" s="179"/>
      <c r="J26" s="179"/>
    </row>
    <row r="27" spans="1:10" ht="60" customHeight="1" x14ac:dyDescent="0.25">
      <c r="A27" s="1278" t="s">
        <v>676</v>
      </c>
      <c r="B27" s="1278"/>
      <c r="C27" s="180"/>
      <c r="D27" s="181"/>
      <c r="E27" s="181"/>
      <c r="F27" s="182"/>
      <c r="G27" s="182"/>
      <c r="H27" s="1279" t="s">
        <v>646</v>
      </c>
      <c r="I27" s="1279"/>
      <c r="J27" s="1279"/>
    </row>
    <row r="29" spans="1:10" x14ac:dyDescent="0.25">
      <c r="A29" s="1273"/>
      <c r="B29" s="1273"/>
      <c r="C29" s="1273"/>
      <c r="D29" s="1273"/>
      <c r="E29" s="1273"/>
      <c r="F29" s="1273"/>
      <c r="G29" s="1273"/>
      <c r="H29" s="1273"/>
      <c r="I29" s="1273"/>
      <c r="J29" s="1273"/>
    </row>
  </sheetData>
  <mergeCells count="14">
    <mergeCell ref="A29:J29"/>
    <mergeCell ref="A9:A10"/>
    <mergeCell ref="B9:B10"/>
    <mergeCell ref="C9:F9"/>
    <mergeCell ref="G9:J9"/>
    <mergeCell ref="A25:B25"/>
    <mergeCell ref="A27:B27"/>
    <mergeCell ref="H27:J27"/>
    <mergeCell ref="E1:I1"/>
    <mergeCell ref="A2:J2"/>
    <mergeCell ref="A3:J3"/>
    <mergeCell ref="A5:J5"/>
    <mergeCell ref="A8:C8"/>
    <mergeCell ref="H8:J8"/>
  </mergeCells>
  <printOptions horizontalCentered="1"/>
  <pageMargins left="0.70866141732283472" right="0.19685039370078741" top="0.23622047244094491" bottom="0.31496062992125984" header="0.19685039370078741" footer="0.19685039370078741"/>
  <pageSetup paperSize="9" scale="95" orientation="landscape" r:id="rId1"/>
  <headerFooter>
    <oddFooter>&amp;CSheet-69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5" tint="0.59999389629810485"/>
    <pageSetUpPr fitToPage="1"/>
  </sheetPr>
  <dimension ref="A1:K31"/>
  <sheetViews>
    <sheetView view="pageBreakPreview" topLeftCell="A9" zoomScaleSheetLayoutView="100" workbookViewId="0">
      <selection activeCell="I15" sqref="I15"/>
    </sheetView>
  </sheetViews>
  <sheetFormatPr defaultColWidth="9.140625" defaultRowHeight="12.75" x14ac:dyDescent="0.2"/>
  <cols>
    <col min="1" max="1" width="7.42578125" style="414" customWidth="1"/>
    <col min="2" max="2" width="16.42578125" style="414" customWidth="1"/>
    <col min="3" max="3" width="11" style="414" customWidth="1"/>
    <col min="4" max="4" width="10" style="414" customWidth="1"/>
    <col min="5" max="5" width="13.140625" style="414" customWidth="1"/>
    <col min="6" max="6" width="14.28515625" style="414" customWidth="1"/>
    <col min="7" max="7" width="13.28515625" style="414" customWidth="1"/>
    <col min="8" max="8" width="14.7109375" style="414" customWidth="1"/>
    <col min="9" max="9" width="16.28515625" style="414" customWidth="1"/>
    <col min="10" max="10" width="19.28515625" style="414" customWidth="1"/>
    <col min="11" max="16384" width="9.140625" style="414"/>
  </cols>
  <sheetData>
    <row r="1" spans="1:11" s="412" customFormat="1" x14ac:dyDescent="0.2">
      <c r="E1" s="1280"/>
      <c r="F1" s="1280"/>
      <c r="G1" s="1280"/>
      <c r="H1" s="1280"/>
      <c r="I1" s="1280"/>
      <c r="J1" s="413" t="s">
        <v>414</v>
      </c>
    </row>
    <row r="2" spans="1:11" s="412" customFormat="1" ht="15" x14ac:dyDescent="0.2">
      <c r="A2" s="1281" t="s">
        <v>0</v>
      </c>
      <c r="B2" s="1281"/>
      <c r="C2" s="1281"/>
      <c r="D2" s="1281"/>
      <c r="E2" s="1281"/>
      <c r="F2" s="1281"/>
      <c r="G2" s="1281"/>
      <c r="H2" s="1281"/>
      <c r="I2" s="1281"/>
      <c r="J2" s="1281"/>
    </row>
    <row r="3" spans="1:11" s="412" customFormat="1" ht="20.25" x14ac:dyDescent="0.3">
      <c r="A3" s="1282" t="s">
        <v>793</v>
      </c>
      <c r="B3" s="1282"/>
      <c r="C3" s="1282"/>
      <c r="D3" s="1282"/>
      <c r="E3" s="1282"/>
      <c r="F3" s="1282"/>
      <c r="G3" s="1282"/>
      <c r="H3" s="1282"/>
      <c r="I3" s="1282"/>
      <c r="J3" s="1282"/>
    </row>
    <row r="4" spans="1:11" s="412" customFormat="1" ht="14.25" customHeight="1" x14ac:dyDescent="0.2"/>
    <row r="5" spans="1:11" ht="31.5" customHeight="1" x14ac:dyDescent="0.25">
      <c r="A5" s="1283" t="s">
        <v>816</v>
      </c>
      <c r="B5" s="1283"/>
      <c r="C5" s="1283"/>
      <c r="D5" s="1283"/>
      <c r="E5" s="1283"/>
      <c r="F5" s="1283"/>
      <c r="G5" s="1283"/>
      <c r="H5" s="1283"/>
      <c r="I5" s="1283"/>
      <c r="J5" s="1283"/>
    </row>
    <row r="6" spans="1:11" ht="13.5" customHeight="1" x14ac:dyDescent="0.2">
      <c r="A6" s="415"/>
      <c r="B6" s="415"/>
      <c r="C6" s="415"/>
      <c r="D6" s="415"/>
      <c r="E6" s="415"/>
      <c r="F6" s="415"/>
      <c r="G6" s="415"/>
      <c r="H6" s="415"/>
      <c r="I6" s="415"/>
      <c r="J6" s="415"/>
    </row>
    <row r="7" spans="1:11" ht="0.75" customHeight="1" x14ac:dyDescent="0.2"/>
    <row r="8" spans="1:11" s="416" customFormat="1" ht="16.5" customHeight="1" x14ac:dyDescent="0.25">
      <c r="A8" s="1284" t="s">
        <v>679</v>
      </c>
      <c r="B8" s="1284"/>
      <c r="C8" s="299"/>
      <c r="H8" s="1272" t="s">
        <v>967</v>
      </c>
      <c r="I8" s="1272"/>
      <c r="J8" s="1272"/>
    </row>
    <row r="9" spans="1:11" s="313" customFormat="1" ht="16.5" customHeight="1" x14ac:dyDescent="0.2">
      <c r="A9" s="1286" t="s">
        <v>2</v>
      </c>
      <c r="B9" s="1286" t="s">
        <v>3</v>
      </c>
      <c r="C9" s="1275" t="s">
        <v>812</v>
      </c>
      <c r="D9" s="1276"/>
      <c r="E9" s="1276"/>
      <c r="F9" s="1277"/>
      <c r="G9" s="1286" t="s">
        <v>94</v>
      </c>
      <c r="H9" s="1286"/>
      <c r="I9" s="1286"/>
      <c r="J9" s="1286"/>
      <c r="K9" s="417"/>
    </row>
    <row r="10" spans="1:11" s="313" customFormat="1" ht="67.5" customHeight="1" x14ac:dyDescent="0.2">
      <c r="A10" s="1286"/>
      <c r="B10" s="1286"/>
      <c r="C10" s="410" t="s">
        <v>168</v>
      </c>
      <c r="D10" s="410" t="s">
        <v>11</v>
      </c>
      <c r="E10" s="410" t="s">
        <v>680</v>
      </c>
      <c r="F10" s="410" t="s">
        <v>185</v>
      </c>
      <c r="G10" s="410" t="s">
        <v>168</v>
      </c>
      <c r="H10" s="410" t="s">
        <v>12</v>
      </c>
      <c r="I10" s="410" t="s">
        <v>103</v>
      </c>
      <c r="J10" s="410" t="s">
        <v>186</v>
      </c>
    </row>
    <row r="11" spans="1:11" s="416" customFormat="1" ht="16.5" x14ac:dyDescent="0.2">
      <c r="A11" s="410">
        <v>1</v>
      </c>
      <c r="B11" s="410">
        <v>2</v>
      </c>
      <c r="C11" s="410">
        <v>3</v>
      </c>
      <c r="D11" s="410">
        <v>4</v>
      </c>
      <c r="E11" s="410">
        <v>5</v>
      </c>
      <c r="F11" s="410">
        <v>6</v>
      </c>
      <c r="G11" s="410">
        <v>7</v>
      </c>
      <c r="H11" s="410">
        <v>8</v>
      </c>
      <c r="I11" s="410">
        <v>9</v>
      </c>
      <c r="J11" s="410">
        <v>10</v>
      </c>
    </row>
    <row r="12" spans="1:11" s="416" customFormat="1" ht="21.75" customHeight="1" x14ac:dyDescent="0.2">
      <c r="A12" s="311">
        <v>1</v>
      </c>
      <c r="B12" s="218" t="s">
        <v>647</v>
      </c>
      <c r="C12" s="312">
        <v>380</v>
      </c>
      <c r="D12" s="312">
        <v>25959</v>
      </c>
      <c r="E12" s="312">
        <v>40</v>
      </c>
      <c r="F12" s="411">
        <f>D12*E12</f>
        <v>1038360</v>
      </c>
      <c r="G12" s="312">
        <v>395</v>
      </c>
      <c r="H12" s="312">
        <v>1348080</v>
      </c>
      <c r="I12" s="312">
        <v>40</v>
      </c>
      <c r="J12" s="915">
        <f>H12/I12</f>
        <v>33702</v>
      </c>
    </row>
    <row r="13" spans="1:11" s="416" customFormat="1" ht="21.75" customHeight="1" x14ac:dyDescent="0.2">
      <c r="A13" s="311">
        <v>2</v>
      </c>
      <c r="B13" s="218" t="s">
        <v>648</v>
      </c>
      <c r="C13" s="312">
        <v>0</v>
      </c>
      <c r="D13" s="312">
        <v>0</v>
      </c>
      <c r="E13" s="312">
        <v>40</v>
      </c>
      <c r="F13" s="411">
        <f t="shared" ref="F13:F23" si="0">D13*E13</f>
        <v>0</v>
      </c>
      <c r="G13" s="312">
        <v>0</v>
      </c>
      <c r="H13" s="312">
        <v>0</v>
      </c>
      <c r="I13" s="312">
        <v>40</v>
      </c>
      <c r="J13" s="411">
        <f t="shared" ref="J13" si="1">H13*I13</f>
        <v>0</v>
      </c>
    </row>
    <row r="14" spans="1:11" s="416" customFormat="1" ht="21.75" customHeight="1" x14ac:dyDescent="0.2">
      <c r="A14" s="311">
        <v>3</v>
      </c>
      <c r="B14" s="218" t="s">
        <v>649</v>
      </c>
      <c r="C14" s="312">
        <v>0</v>
      </c>
      <c r="D14" s="312">
        <v>0</v>
      </c>
      <c r="E14" s="312">
        <v>40</v>
      </c>
      <c r="F14" s="411">
        <f t="shared" si="0"/>
        <v>0</v>
      </c>
      <c r="G14" s="312">
        <v>0</v>
      </c>
      <c r="H14" s="312">
        <v>0</v>
      </c>
      <c r="I14" s="312">
        <v>40</v>
      </c>
      <c r="J14" s="915">
        <f t="shared" ref="J14:J24" si="2">H14/I14</f>
        <v>0</v>
      </c>
    </row>
    <row r="15" spans="1:11" s="416" customFormat="1" ht="21.75" customHeight="1" x14ac:dyDescent="0.2">
      <c r="A15" s="311">
        <v>4</v>
      </c>
      <c r="B15" s="218" t="s">
        <v>650</v>
      </c>
      <c r="C15" s="312">
        <v>0</v>
      </c>
      <c r="D15" s="312">
        <v>0</v>
      </c>
      <c r="E15" s="312">
        <v>40</v>
      </c>
      <c r="F15" s="411">
        <f t="shared" si="0"/>
        <v>0</v>
      </c>
      <c r="G15" s="312">
        <v>0</v>
      </c>
      <c r="H15" s="312">
        <v>0</v>
      </c>
      <c r="I15" s="312">
        <v>40</v>
      </c>
      <c r="J15" s="915">
        <f t="shared" si="2"/>
        <v>0</v>
      </c>
    </row>
    <row r="16" spans="1:11" s="416" customFormat="1" ht="21.75" customHeight="1" x14ac:dyDescent="0.2">
      <c r="A16" s="311">
        <v>5</v>
      </c>
      <c r="B16" s="218" t="s">
        <v>651</v>
      </c>
      <c r="C16" s="312">
        <v>0</v>
      </c>
      <c r="D16" s="312">
        <v>0</v>
      </c>
      <c r="E16" s="312">
        <v>40</v>
      </c>
      <c r="F16" s="411">
        <f t="shared" si="0"/>
        <v>0</v>
      </c>
      <c r="G16" s="312">
        <v>0</v>
      </c>
      <c r="H16" s="312">
        <v>0</v>
      </c>
      <c r="I16" s="312">
        <v>40</v>
      </c>
      <c r="J16" s="915">
        <f t="shared" si="2"/>
        <v>0</v>
      </c>
    </row>
    <row r="17" spans="1:10" s="416" customFormat="1" ht="21.75" customHeight="1" x14ac:dyDescent="0.2">
      <c r="A17" s="311">
        <v>6</v>
      </c>
      <c r="B17" s="218" t="s">
        <v>652</v>
      </c>
      <c r="C17" s="312">
        <v>0</v>
      </c>
      <c r="D17" s="312">
        <v>0</v>
      </c>
      <c r="E17" s="312">
        <v>40</v>
      </c>
      <c r="F17" s="411">
        <f t="shared" si="0"/>
        <v>0</v>
      </c>
      <c r="G17" s="312">
        <v>0</v>
      </c>
      <c r="H17" s="312">
        <v>0</v>
      </c>
      <c r="I17" s="312">
        <v>40</v>
      </c>
      <c r="J17" s="915">
        <f t="shared" si="2"/>
        <v>0</v>
      </c>
    </row>
    <row r="18" spans="1:10" s="416" customFormat="1" ht="21.75" customHeight="1" x14ac:dyDescent="0.2">
      <c r="A18" s="311">
        <v>7</v>
      </c>
      <c r="B18" s="218" t="s">
        <v>653</v>
      </c>
      <c r="C18" s="312">
        <v>0</v>
      </c>
      <c r="D18" s="312">
        <v>0</v>
      </c>
      <c r="E18" s="312">
        <v>40</v>
      </c>
      <c r="F18" s="411">
        <f t="shared" si="0"/>
        <v>0</v>
      </c>
      <c r="G18" s="312">
        <v>0</v>
      </c>
      <c r="H18" s="312">
        <v>0</v>
      </c>
      <c r="I18" s="312">
        <v>40</v>
      </c>
      <c r="J18" s="915">
        <f t="shared" si="2"/>
        <v>0</v>
      </c>
    </row>
    <row r="19" spans="1:10" s="416" customFormat="1" ht="21.75" customHeight="1" x14ac:dyDescent="0.2">
      <c r="A19" s="311">
        <v>8</v>
      </c>
      <c r="B19" s="218" t="s">
        <v>654</v>
      </c>
      <c r="C19" s="312">
        <v>385</v>
      </c>
      <c r="D19" s="915">
        <v>61110</v>
      </c>
      <c r="E19" s="312">
        <v>40</v>
      </c>
      <c r="F19" s="411">
        <f t="shared" si="0"/>
        <v>2444400</v>
      </c>
      <c r="G19" s="312">
        <v>316</v>
      </c>
      <c r="H19" s="312">
        <v>2040637</v>
      </c>
      <c r="I19" s="312">
        <v>40</v>
      </c>
      <c r="J19" s="915">
        <f t="shared" si="2"/>
        <v>51015.925000000003</v>
      </c>
    </row>
    <row r="20" spans="1:10" s="416" customFormat="1" ht="21.75" customHeight="1" x14ac:dyDescent="0.2">
      <c r="A20" s="311">
        <v>9</v>
      </c>
      <c r="B20" s="218" t="s">
        <v>655</v>
      </c>
      <c r="C20" s="312">
        <v>481</v>
      </c>
      <c r="D20" s="312">
        <v>40045</v>
      </c>
      <c r="E20" s="312">
        <v>40</v>
      </c>
      <c r="F20" s="411">
        <f t="shared" si="0"/>
        <v>1601800</v>
      </c>
      <c r="G20" s="312">
        <v>481</v>
      </c>
      <c r="H20" s="312">
        <v>2138720</v>
      </c>
      <c r="I20" s="312">
        <v>40</v>
      </c>
      <c r="J20" s="915">
        <f t="shared" si="2"/>
        <v>53468</v>
      </c>
    </row>
    <row r="21" spans="1:10" s="416" customFormat="1" ht="21.75" customHeight="1" x14ac:dyDescent="0.2">
      <c r="A21" s="311">
        <v>10</v>
      </c>
      <c r="B21" s="218" t="s">
        <v>656</v>
      </c>
      <c r="C21" s="312">
        <v>1095</v>
      </c>
      <c r="D21" s="312">
        <v>83595</v>
      </c>
      <c r="E21" s="312">
        <v>40</v>
      </c>
      <c r="F21" s="411">
        <f t="shared" si="0"/>
        <v>3343800</v>
      </c>
      <c r="G21" s="967">
        <v>1072</v>
      </c>
      <c r="H21" s="312">
        <v>3898650</v>
      </c>
      <c r="I21" s="312">
        <v>40</v>
      </c>
      <c r="J21" s="915">
        <f t="shared" si="2"/>
        <v>97466.25</v>
      </c>
    </row>
    <row r="22" spans="1:10" s="416" customFormat="1" ht="21.75" customHeight="1" x14ac:dyDescent="0.2">
      <c r="A22" s="311">
        <v>11</v>
      </c>
      <c r="B22" s="218" t="s">
        <v>657</v>
      </c>
      <c r="C22" s="312">
        <v>209</v>
      </c>
      <c r="D22" s="312">
        <v>60078</v>
      </c>
      <c r="E22" s="312">
        <v>40</v>
      </c>
      <c r="F22" s="411">
        <f t="shared" si="0"/>
        <v>2403120</v>
      </c>
      <c r="G22" s="312">
        <v>209</v>
      </c>
      <c r="H22" s="312">
        <v>728800</v>
      </c>
      <c r="I22" s="312">
        <v>40</v>
      </c>
      <c r="J22" s="915">
        <f t="shared" si="2"/>
        <v>18220</v>
      </c>
    </row>
    <row r="23" spans="1:10" s="416" customFormat="1" ht="21.75" customHeight="1" x14ac:dyDescent="0.2">
      <c r="A23" s="311">
        <v>12</v>
      </c>
      <c r="B23" s="218" t="s">
        <v>658</v>
      </c>
      <c r="C23" s="312">
        <v>1131</v>
      </c>
      <c r="D23" s="312">
        <v>108958</v>
      </c>
      <c r="E23" s="312">
        <v>40</v>
      </c>
      <c r="F23" s="411">
        <f t="shared" si="0"/>
        <v>4358320</v>
      </c>
      <c r="G23" s="312">
        <v>1131</v>
      </c>
      <c r="H23" s="312">
        <v>9611798</v>
      </c>
      <c r="I23" s="312">
        <v>40</v>
      </c>
      <c r="J23" s="915">
        <f t="shared" si="2"/>
        <v>240294.95</v>
      </c>
    </row>
    <row r="24" spans="1:10" s="416" customFormat="1" ht="21.75" customHeight="1" x14ac:dyDescent="0.2">
      <c r="A24" s="311">
        <v>13</v>
      </c>
      <c r="B24" s="218" t="s">
        <v>659</v>
      </c>
      <c r="C24" s="312">
        <v>610</v>
      </c>
      <c r="D24" s="312">
        <v>86122</v>
      </c>
      <c r="E24" s="312">
        <v>40</v>
      </c>
      <c r="F24" s="411">
        <f>D24*E24</f>
        <v>3444880</v>
      </c>
      <c r="G24" s="312">
        <v>610</v>
      </c>
      <c r="H24" s="312">
        <v>3619320</v>
      </c>
      <c r="I24" s="312">
        <v>40</v>
      </c>
      <c r="J24" s="915">
        <f t="shared" si="2"/>
        <v>90483</v>
      </c>
    </row>
    <row r="25" spans="1:10" s="416" customFormat="1" ht="21.75" customHeight="1" x14ac:dyDescent="0.2">
      <c r="A25" s="1286" t="s">
        <v>660</v>
      </c>
      <c r="B25" s="1286"/>
      <c r="C25" s="669">
        <f>SUM(C12:C24)</f>
        <v>4291</v>
      </c>
      <c r="D25" s="669">
        <f t="shared" ref="D25:G25" si="3">SUM(D12:D24)</f>
        <v>465867</v>
      </c>
      <c r="E25" s="669" t="s">
        <v>7</v>
      </c>
      <c r="F25" s="806">
        <f>SUM(F12:F24)</f>
        <v>18634680</v>
      </c>
      <c r="G25" s="669">
        <f t="shared" si="3"/>
        <v>4214</v>
      </c>
      <c r="H25" s="669">
        <f>SUM(H12:H24)</f>
        <v>23386005</v>
      </c>
      <c r="I25" s="669">
        <v>40</v>
      </c>
      <c r="J25" s="806">
        <f>SUM(J12:J24)</f>
        <v>584650.125</v>
      </c>
    </row>
    <row r="26" spans="1:10" s="416" customFormat="1" ht="16.5" x14ac:dyDescent="0.2">
      <c r="A26" s="418"/>
      <c r="B26" s="419"/>
      <c r="C26" s="419"/>
      <c r="D26" s="420"/>
      <c r="E26" s="420"/>
      <c r="F26" s="420"/>
      <c r="G26" s="420"/>
      <c r="H26" s="420"/>
      <c r="I26" s="420"/>
      <c r="J26" s="420"/>
    </row>
    <row r="27" spans="1:10" s="416" customFormat="1" ht="61.5" customHeight="1" x14ac:dyDescent="0.2">
      <c r="A27" s="1287" t="s">
        <v>677</v>
      </c>
      <c r="B27" s="1287"/>
      <c r="C27" s="421"/>
      <c r="D27" s="422"/>
      <c r="E27" s="422"/>
      <c r="F27" s="423"/>
      <c r="G27" s="423"/>
      <c r="H27" s="1288" t="s">
        <v>646</v>
      </c>
      <c r="I27" s="1288"/>
      <c r="J27" s="1288"/>
    </row>
    <row r="29" spans="1:10" x14ac:dyDescent="0.2">
      <c r="A29" s="1285"/>
      <c r="B29" s="1285"/>
      <c r="C29" s="1285"/>
      <c r="D29" s="1285"/>
      <c r="E29" s="1285"/>
      <c r="F29" s="1285"/>
      <c r="G29" s="1285"/>
      <c r="H29" s="1285"/>
      <c r="I29" s="1285"/>
      <c r="J29" s="1285"/>
    </row>
    <row r="31" spans="1:10" x14ac:dyDescent="0.2">
      <c r="A31" s="1285"/>
      <c r="B31" s="1285"/>
      <c r="C31" s="1285"/>
      <c r="D31" s="1285"/>
      <c r="E31" s="1285"/>
      <c r="F31" s="1285"/>
      <c r="G31" s="1285"/>
      <c r="H31" s="1285"/>
      <c r="I31" s="1285"/>
      <c r="J31" s="1285"/>
    </row>
  </sheetData>
  <mergeCells count="15">
    <mergeCell ref="A29:J29"/>
    <mergeCell ref="A31:J31"/>
    <mergeCell ref="A9:A10"/>
    <mergeCell ref="B9:B10"/>
    <mergeCell ref="C9:F9"/>
    <mergeCell ref="G9:J9"/>
    <mergeCell ref="A25:B25"/>
    <mergeCell ref="A27:B27"/>
    <mergeCell ref="H27:J27"/>
    <mergeCell ref="E1:I1"/>
    <mergeCell ref="A2:J2"/>
    <mergeCell ref="A3:J3"/>
    <mergeCell ref="A5:J5"/>
    <mergeCell ref="A8:B8"/>
    <mergeCell ref="H8:J8"/>
  </mergeCells>
  <printOptions horizontalCentered="1"/>
  <pageMargins left="0.72" right="0.2" top="0.2" bottom="0.3" header="0.2" footer="0.2"/>
  <pageSetup paperSize="9" scale="95" orientation="landscape" r:id="rId1"/>
  <headerFooter>
    <oddFooter>&amp;CSheet-70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5" tint="0.59999389629810485"/>
  </sheetPr>
  <dimension ref="A1:M34"/>
  <sheetViews>
    <sheetView view="pageBreakPreview" topLeftCell="A9" zoomScale="90" zoomScaleSheetLayoutView="90" workbookViewId="0">
      <selection activeCell="L26" sqref="L26"/>
    </sheetView>
  </sheetViews>
  <sheetFormatPr defaultColWidth="9.140625" defaultRowHeight="12.75" x14ac:dyDescent="0.2"/>
  <cols>
    <col min="1" max="1" width="6.7109375" style="189" customWidth="1"/>
    <col min="2" max="2" width="17.140625" style="189" customWidth="1"/>
    <col min="3" max="3" width="12" style="189" customWidth="1"/>
    <col min="4" max="4" width="10.42578125" style="189" customWidth="1"/>
    <col min="5" max="5" width="10.140625" style="189" customWidth="1"/>
    <col min="6" max="6" width="13" style="189" customWidth="1"/>
    <col min="7" max="7" width="13.5703125" style="189" customWidth="1"/>
    <col min="8" max="8" width="12.42578125" style="189" customWidth="1"/>
    <col min="9" max="9" width="12.140625" style="189" customWidth="1"/>
    <col min="10" max="10" width="11.7109375" style="189" customWidth="1"/>
    <col min="11" max="11" width="12" style="189" customWidth="1"/>
    <col min="12" max="12" width="14.140625" style="189" customWidth="1"/>
    <col min="13" max="16384" width="9.140625" style="189"/>
  </cols>
  <sheetData>
    <row r="1" spans="1:13" s="185" customFormat="1" x14ac:dyDescent="0.2">
      <c r="D1" s="186"/>
      <c r="E1" s="186"/>
      <c r="F1" s="186"/>
      <c r="G1" s="186"/>
      <c r="H1" s="186"/>
      <c r="I1" s="186"/>
      <c r="J1" s="186"/>
      <c r="K1" s="186"/>
      <c r="L1" s="1289" t="s">
        <v>55</v>
      </c>
      <c r="M1" s="1289"/>
    </row>
    <row r="2" spans="1:13" s="185" customFormat="1" ht="15" x14ac:dyDescent="0.2">
      <c r="A2" s="1290" t="s">
        <v>0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87"/>
    </row>
    <row r="3" spans="1:13" s="185" customFormat="1" ht="20.25" x14ac:dyDescent="0.3">
      <c r="A3" s="1291" t="s">
        <v>793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88"/>
    </row>
    <row r="4" spans="1:13" ht="19.5" customHeight="1" x14ac:dyDescent="0.25">
      <c r="A4" s="1239" t="s">
        <v>817</v>
      </c>
      <c r="B4" s="1239"/>
      <c r="C4" s="1239"/>
      <c r="D4" s="1239"/>
      <c r="E4" s="1239"/>
      <c r="F4" s="1239"/>
      <c r="G4" s="1239"/>
      <c r="H4" s="1239"/>
      <c r="I4" s="1239"/>
      <c r="J4" s="1239"/>
      <c r="K4" s="1239"/>
      <c r="L4" s="1239"/>
    </row>
    <row r="5" spans="1:13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3" x14ac:dyDescent="0.2">
      <c r="A6" s="1292"/>
      <c r="B6" s="1292"/>
      <c r="F6" s="1293" t="s">
        <v>14</v>
      </c>
      <c r="G6" s="1293"/>
      <c r="H6" s="1293"/>
      <c r="I6" s="1293"/>
      <c r="J6" s="1293"/>
      <c r="K6" s="1293"/>
      <c r="L6" s="1293"/>
    </row>
    <row r="7" spans="1:13" ht="16.5" customHeight="1" x14ac:dyDescent="0.2">
      <c r="A7" s="1295" t="s">
        <v>679</v>
      </c>
      <c r="B7" s="1295"/>
      <c r="C7" s="1295"/>
      <c r="F7" s="191"/>
      <c r="G7" s="192"/>
      <c r="H7" s="192"/>
      <c r="I7" s="1296" t="s">
        <v>968</v>
      </c>
      <c r="J7" s="1296"/>
      <c r="K7" s="1296"/>
      <c r="L7" s="1296"/>
    </row>
    <row r="8" spans="1:13" s="186" customFormat="1" x14ac:dyDescent="0.2">
      <c r="A8" s="1297" t="s">
        <v>2</v>
      </c>
      <c r="B8" s="1297" t="s">
        <v>3</v>
      </c>
      <c r="C8" s="1299" t="s">
        <v>15</v>
      </c>
      <c r="D8" s="1300"/>
      <c r="E8" s="1300"/>
      <c r="F8" s="1300"/>
      <c r="G8" s="1300"/>
      <c r="H8" s="1301" t="s">
        <v>34</v>
      </c>
      <c r="I8" s="1301"/>
      <c r="J8" s="1301"/>
      <c r="K8" s="1301"/>
      <c r="L8" s="1301"/>
    </row>
    <row r="9" spans="1:13" s="186" customFormat="1" ht="77.45" customHeight="1" x14ac:dyDescent="0.2">
      <c r="A9" s="1298"/>
      <c r="B9" s="1298"/>
      <c r="C9" s="991" t="s">
        <v>819</v>
      </c>
      <c r="D9" s="991" t="s">
        <v>820</v>
      </c>
      <c r="E9" s="193" t="s">
        <v>62</v>
      </c>
      <c r="F9" s="193" t="s">
        <v>63</v>
      </c>
      <c r="G9" s="193" t="s">
        <v>346</v>
      </c>
      <c r="H9" s="991" t="s">
        <v>819</v>
      </c>
      <c r="I9" s="991" t="s">
        <v>820</v>
      </c>
      <c r="J9" s="193" t="s">
        <v>62</v>
      </c>
      <c r="K9" s="193" t="s">
        <v>63</v>
      </c>
      <c r="L9" s="193" t="s">
        <v>347</v>
      </c>
    </row>
    <row r="10" spans="1:13" s="186" customFormat="1" x14ac:dyDescent="0.2">
      <c r="A10" s="142">
        <v>1</v>
      </c>
      <c r="B10" s="142">
        <v>2</v>
      </c>
      <c r="C10" s="142">
        <v>3</v>
      </c>
      <c r="D10" s="142">
        <v>4</v>
      </c>
      <c r="E10" s="142">
        <v>5</v>
      </c>
      <c r="F10" s="142">
        <v>6</v>
      </c>
      <c r="G10" s="142">
        <v>7</v>
      </c>
      <c r="H10" s="142">
        <v>8</v>
      </c>
      <c r="I10" s="142">
        <v>9</v>
      </c>
      <c r="J10" s="142">
        <v>10</v>
      </c>
      <c r="K10" s="142">
        <v>11</v>
      </c>
      <c r="L10" s="142">
        <v>12</v>
      </c>
    </row>
    <row r="11" spans="1:13" ht="22.5" customHeight="1" x14ac:dyDescent="0.2">
      <c r="A11" s="194">
        <v>1</v>
      </c>
      <c r="B11" s="195" t="s">
        <v>647</v>
      </c>
      <c r="C11" s="196">
        <v>2358.7739999999999</v>
      </c>
      <c r="D11" s="197">
        <v>287.3</v>
      </c>
      <c r="E11" s="196">
        <v>2146.0417002386412</v>
      </c>
      <c r="F11" s="196">
        <v>2290.86</v>
      </c>
      <c r="G11" s="196">
        <f>D11+E11-F11</f>
        <v>142.48170023864122</v>
      </c>
      <c r="H11" s="1063"/>
      <c r="I11" s="1064"/>
      <c r="J11" s="1064"/>
      <c r="K11" s="1064"/>
      <c r="L11" s="1065"/>
    </row>
    <row r="12" spans="1:13" ht="22.5" customHeight="1" x14ac:dyDescent="0.2">
      <c r="A12" s="194">
        <v>2</v>
      </c>
      <c r="B12" s="195" t="s">
        <v>648</v>
      </c>
      <c r="C12" s="196">
        <v>2050.0699902498159</v>
      </c>
      <c r="D12" s="197">
        <v>249.7</v>
      </c>
      <c r="E12" s="196">
        <v>1875.88849576242</v>
      </c>
      <c r="F12" s="196">
        <v>1902.8020000000001</v>
      </c>
      <c r="G12" s="196">
        <f t="shared" ref="G12:G22" si="0">D12+E12-F12</f>
        <v>222.78649576241969</v>
      </c>
      <c r="H12" s="1066"/>
      <c r="I12" s="1067"/>
      <c r="J12" s="1067"/>
      <c r="K12" s="1067"/>
      <c r="L12" s="1068"/>
    </row>
    <row r="13" spans="1:13" ht="22.5" customHeight="1" x14ac:dyDescent="0.2">
      <c r="A13" s="194">
        <v>3</v>
      </c>
      <c r="B13" s="195" t="s">
        <v>649</v>
      </c>
      <c r="C13" s="196">
        <v>2809.3339999999998</v>
      </c>
      <c r="D13" s="197">
        <v>342.178</v>
      </c>
      <c r="E13" s="196">
        <v>2540.3297002386407</v>
      </c>
      <c r="F13" s="196">
        <v>2713.7220000000002</v>
      </c>
      <c r="G13" s="196">
        <f t="shared" si="0"/>
        <v>168.7857002386404</v>
      </c>
      <c r="H13" s="1066"/>
      <c r="I13" s="1067"/>
      <c r="J13" s="1067"/>
      <c r="K13" s="1067"/>
      <c r="L13" s="1068"/>
    </row>
    <row r="14" spans="1:13" ht="22.5" customHeight="1" x14ac:dyDescent="0.2">
      <c r="A14" s="194">
        <v>4</v>
      </c>
      <c r="B14" s="195" t="s">
        <v>650</v>
      </c>
      <c r="C14" s="196">
        <v>3154.8440000000001</v>
      </c>
      <c r="D14" s="197">
        <v>384.26</v>
      </c>
      <c r="E14" s="196">
        <v>2842.6802002386412</v>
      </c>
      <c r="F14" s="196">
        <v>3093.596</v>
      </c>
      <c r="G14" s="196">
        <f t="shared" si="0"/>
        <v>133.34420023864141</v>
      </c>
      <c r="H14" s="1066"/>
      <c r="I14" s="1067"/>
      <c r="J14" s="1067"/>
      <c r="K14" s="1067"/>
      <c r="L14" s="1068"/>
    </row>
    <row r="15" spans="1:13" ht="22.5" customHeight="1" x14ac:dyDescent="0.2">
      <c r="A15" s="194">
        <v>5</v>
      </c>
      <c r="B15" s="195" t="s">
        <v>651</v>
      </c>
      <c r="C15" s="196">
        <v>2764.2340000000013</v>
      </c>
      <c r="D15" s="197">
        <v>336.685</v>
      </c>
      <c r="E15" s="196">
        <v>2500.8647002386415</v>
      </c>
      <c r="F15" s="196">
        <v>2624.0720000000001</v>
      </c>
      <c r="G15" s="196">
        <f t="shared" si="0"/>
        <v>213.47770023864132</v>
      </c>
      <c r="H15" s="1066"/>
      <c r="I15" s="1067"/>
      <c r="J15" s="1067"/>
      <c r="K15" s="1067"/>
      <c r="L15" s="1068"/>
    </row>
    <row r="16" spans="1:13" ht="22.5" customHeight="1" x14ac:dyDescent="0.2">
      <c r="A16" s="194">
        <v>6</v>
      </c>
      <c r="B16" s="195" t="s">
        <v>652</v>
      </c>
      <c r="C16" s="196">
        <v>3024.8900000000003</v>
      </c>
      <c r="D16" s="197">
        <v>368.43299999999999</v>
      </c>
      <c r="E16" s="196">
        <v>2728.9495002386411</v>
      </c>
      <c r="F16" s="196">
        <v>2784.1</v>
      </c>
      <c r="G16" s="196">
        <f t="shared" si="0"/>
        <v>313.28250023864121</v>
      </c>
      <c r="H16" s="1066"/>
      <c r="I16" s="1067"/>
      <c r="J16" s="1067"/>
      <c r="K16" s="1067"/>
      <c r="L16" s="1068"/>
    </row>
    <row r="17" spans="1:12" ht="22.5" customHeight="1" x14ac:dyDescent="0.2">
      <c r="A17" s="194">
        <v>7</v>
      </c>
      <c r="B17" s="195" t="s">
        <v>653</v>
      </c>
      <c r="C17" s="198">
        <v>2497.0000000000005</v>
      </c>
      <c r="D17" s="197">
        <v>304.13600000000002</v>
      </c>
      <c r="E17" s="196">
        <v>2267.000000238641</v>
      </c>
      <c r="F17" s="196">
        <v>3192.1559999999999</v>
      </c>
      <c r="G17" s="196">
        <f>D17+E17-F17</f>
        <v>-621.01999976135903</v>
      </c>
      <c r="H17" s="1066"/>
      <c r="I17" s="1067"/>
      <c r="J17" s="1067"/>
      <c r="K17" s="1067"/>
      <c r="L17" s="1068"/>
    </row>
    <row r="18" spans="1:12" ht="22.5" customHeight="1" x14ac:dyDescent="0.2">
      <c r="A18" s="194">
        <v>8</v>
      </c>
      <c r="B18" s="195" t="s">
        <v>654</v>
      </c>
      <c r="C18" s="198">
        <v>2865.7860000000001</v>
      </c>
      <c r="D18" s="197">
        <v>349.05399999999997</v>
      </c>
      <c r="E18" s="196">
        <v>2589.7263002386412</v>
      </c>
      <c r="F18" s="196">
        <v>2657.7539999999999</v>
      </c>
      <c r="G18" s="196">
        <f t="shared" si="0"/>
        <v>281.0263002386414</v>
      </c>
      <c r="H18" s="1066"/>
      <c r="I18" s="1067"/>
      <c r="J18" s="1067"/>
      <c r="K18" s="1067"/>
      <c r="L18" s="1068"/>
    </row>
    <row r="19" spans="1:12" ht="22.5" customHeight="1" x14ac:dyDescent="0.2">
      <c r="A19" s="194">
        <v>9</v>
      </c>
      <c r="B19" s="195" t="s">
        <v>655</v>
      </c>
      <c r="C19" s="198">
        <v>2768.6560000000004</v>
      </c>
      <c r="D19" s="197">
        <v>337.22399999999999</v>
      </c>
      <c r="E19" s="196">
        <v>2504.7348002386407</v>
      </c>
      <c r="F19" s="196">
        <v>2618.616</v>
      </c>
      <c r="G19" s="196">
        <f t="shared" si="0"/>
        <v>223.34280023864085</v>
      </c>
      <c r="H19" s="1066"/>
      <c r="I19" s="1067"/>
      <c r="J19" s="1067"/>
      <c r="K19" s="1067"/>
      <c r="L19" s="1068"/>
    </row>
    <row r="20" spans="1:12" ht="22.5" customHeight="1" x14ac:dyDescent="0.2">
      <c r="A20" s="194">
        <v>10</v>
      </c>
      <c r="B20" s="195" t="s">
        <v>656</v>
      </c>
      <c r="C20" s="198">
        <v>3259.1240000000003</v>
      </c>
      <c r="D20" s="197">
        <v>396.96300000000002</v>
      </c>
      <c r="E20" s="196">
        <v>2933.9342002386411</v>
      </c>
      <c r="F20" s="196">
        <v>3091.0880000000002</v>
      </c>
      <c r="G20" s="196">
        <f t="shared" si="0"/>
        <v>239.8092002386411</v>
      </c>
      <c r="H20" s="1066"/>
      <c r="I20" s="1067"/>
      <c r="J20" s="1067"/>
      <c r="K20" s="1067"/>
      <c r="L20" s="1068"/>
    </row>
    <row r="21" spans="1:12" ht="22.5" customHeight="1" x14ac:dyDescent="0.2">
      <c r="A21" s="194">
        <v>11</v>
      </c>
      <c r="B21" s="195" t="s">
        <v>657</v>
      </c>
      <c r="C21" s="198">
        <v>2629.3300000000004</v>
      </c>
      <c r="D21" s="197">
        <v>320.25400000000002</v>
      </c>
      <c r="E21" s="196">
        <v>2382.7915002386408</v>
      </c>
      <c r="F21" s="196">
        <v>2569.9740000000002</v>
      </c>
      <c r="G21" s="196">
        <f t="shared" si="0"/>
        <v>133.07150023864051</v>
      </c>
      <c r="H21" s="1066"/>
      <c r="I21" s="1067"/>
      <c r="J21" s="1067"/>
      <c r="K21" s="1067"/>
      <c r="L21" s="1068"/>
    </row>
    <row r="22" spans="1:12" ht="22.5" customHeight="1" x14ac:dyDescent="0.2">
      <c r="A22" s="194">
        <v>12</v>
      </c>
      <c r="B22" s="195" t="s">
        <v>658</v>
      </c>
      <c r="C22" s="198">
        <v>3626.1060000000007</v>
      </c>
      <c r="D22" s="197">
        <v>441.66199999999998</v>
      </c>
      <c r="E22" s="196">
        <v>3270.2923002386406</v>
      </c>
      <c r="F22" s="196">
        <v>2424.576</v>
      </c>
      <c r="G22" s="196">
        <f t="shared" si="0"/>
        <v>1287.3783002386403</v>
      </c>
      <c r="H22" s="1066"/>
      <c r="I22" s="1067"/>
      <c r="J22" s="1067"/>
      <c r="K22" s="1067"/>
      <c r="L22" s="1068"/>
    </row>
    <row r="23" spans="1:12" ht="22.5" customHeight="1" x14ac:dyDescent="0.2">
      <c r="A23" s="194">
        <v>13</v>
      </c>
      <c r="B23" s="195" t="s">
        <v>659</v>
      </c>
      <c r="C23" s="198">
        <v>4471.8520000000008</v>
      </c>
      <c r="D23" s="197">
        <v>544.67399999999998</v>
      </c>
      <c r="E23" s="196">
        <v>3995.1866002386409</v>
      </c>
      <c r="F23" s="196">
        <v>4477.7920000000004</v>
      </c>
      <c r="G23" s="196">
        <f>D23+E23-F23</f>
        <v>62.068600238640101</v>
      </c>
      <c r="H23" s="1069"/>
      <c r="I23" s="1070"/>
      <c r="J23" s="1070"/>
      <c r="K23" s="1070"/>
      <c r="L23" s="1071"/>
    </row>
    <row r="24" spans="1:12" s="186" customFormat="1" ht="22.5" customHeight="1" x14ac:dyDescent="0.2">
      <c r="A24" s="1251" t="s">
        <v>660</v>
      </c>
      <c r="B24" s="1253"/>
      <c r="C24" s="199">
        <v>38279.999990249817</v>
      </c>
      <c r="D24" s="199">
        <f t="shared" ref="D24:E24" si="1">SUM(D11:D23)</f>
        <v>4662.5230000000001</v>
      </c>
      <c r="E24" s="199">
        <f t="shared" si="1"/>
        <v>34578.419998626108</v>
      </c>
      <c r="F24" s="199">
        <v>36441.108</v>
      </c>
      <c r="G24" s="199">
        <f>SUM(G11:G23)</f>
        <v>2799.8349986261105</v>
      </c>
      <c r="H24" s="1072"/>
      <c r="I24" s="1072"/>
      <c r="J24" s="1072"/>
      <c r="K24" s="1072"/>
      <c r="L24" s="1072"/>
    </row>
    <row r="25" spans="1:12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</row>
    <row r="26" spans="1:12" ht="15" x14ac:dyDescent="0.25">
      <c r="A26" s="201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  <row r="27" spans="1:12" ht="68.25" customHeight="1" x14ac:dyDescent="0.2">
      <c r="A27" s="1294" t="s">
        <v>681</v>
      </c>
      <c r="B27" s="1294"/>
      <c r="C27" s="202"/>
      <c r="D27" s="202"/>
      <c r="E27" s="202"/>
      <c r="F27" s="203"/>
      <c r="G27" s="203"/>
      <c r="H27" s="203"/>
      <c r="I27" s="202"/>
      <c r="J27" s="1142" t="s">
        <v>646</v>
      </c>
      <c r="K27" s="1142"/>
      <c r="L27" s="1142"/>
    </row>
    <row r="31" spans="1:12" x14ac:dyDescent="0.2">
      <c r="I31" s="189">
        <v>1656414</v>
      </c>
    </row>
    <row r="33" spans="9:9" x14ac:dyDescent="0.2">
      <c r="I33" s="189">
        <f>I31*220*0.0001</f>
        <v>36441.108</v>
      </c>
    </row>
    <row r="34" spans="9:9" x14ac:dyDescent="0.2">
      <c r="I34" s="1041">
        <f>F24-I33</f>
        <v>0</v>
      </c>
    </row>
  </sheetData>
  <mergeCells count="15">
    <mergeCell ref="A24:B24"/>
    <mergeCell ref="A27:B27"/>
    <mergeCell ref="J27:L27"/>
    <mergeCell ref="A7:C7"/>
    <mergeCell ref="I7:L7"/>
    <mergeCell ref="A8:A9"/>
    <mergeCell ref="B8:B9"/>
    <mergeCell ref="C8:G8"/>
    <mergeCell ref="H8:L8"/>
    <mergeCell ref="L1:M1"/>
    <mergeCell ref="A2:L2"/>
    <mergeCell ref="A3:L3"/>
    <mergeCell ref="A4:L4"/>
    <mergeCell ref="A6:B6"/>
    <mergeCell ref="F6:L6"/>
  </mergeCells>
  <printOptions horizontalCentered="1"/>
  <pageMargins left="0.74803149606299213" right="7.874015748031496E-2" top="0.43307086614173229" bottom="0.19685039370078741" header="0.19685039370078741" footer="0.19685039370078741"/>
  <pageSetup paperSize="9" scale="90" orientation="landscape" r:id="rId1"/>
  <headerFooter>
    <oddFooter>&amp;CSheet-71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59999389629810485"/>
  </sheetPr>
  <dimension ref="A1:G65"/>
  <sheetViews>
    <sheetView view="pageBreakPreview" topLeftCell="A16" zoomScale="120" zoomScaleSheetLayoutView="120" workbookViewId="0">
      <selection activeCell="D59" sqref="D59"/>
    </sheetView>
  </sheetViews>
  <sheetFormatPr defaultRowHeight="12.75" x14ac:dyDescent="0.2"/>
  <cols>
    <col min="1" max="1" width="10" customWidth="1"/>
    <col min="2" max="2" width="14.42578125" customWidth="1"/>
    <col min="3" max="3" width="107.42578125" customWidth="1"/>
  </cols>
  <sheetData>
    <row r="1" spans="1:7" ht="15" customHeight="1" x14ac:dyDescent="0.25">
      <c r="A1" s="1096" t="s">
        <v>552</v>
      </c>
      <c r="B1" s="1096"/>
      <c r="C1" s="1096"/>
      <c r="D1" s="1096"/>
      <c r="E1" s="91"/>
      <c r="F1" s="91"/>
      <c r="G1" s="91"/>
    </row>
    <row r="2" spans="1:7" s="844" customFormat="1" x14ac:dyDescent="0.2">
      <c r="A2" s="2" t="s">
        <v>66</v>
      </c>
      <c r="B2" s="2" t="s">
        <v>553</v>
      </c>
      <c r="C2" s="2" t="s">
        <v>554</v>
      </c>
    </row>
    <row r="3" spans="1:7" s="850" customFormat="1" ht="13.5" x14ac:dyDescent="0.25">
      <c r="A3" s="848">
        <v>1</v>
      </c>
      <c r="B3" s="849" t="s">
        <v>555</v>
      </c>
      <c r="C3" s="849" t="s">
        <v>749</v>
      </c>
    </row>
    <row r="4" spans="1:7" s="850" customFormat="1" ht="13.5" x14ac:dyDescent="0.25">
      <c r="A4" s="848">
        <v>2</v>
      </c>
      <c r="B4" s="849" t="s">
        <v>556</v>
      </c>
      <c r="C4" s="849" t="s">
        <v>750</v>
      </c>
    </row>
    <row r="5" spans="1:7" s="850" customFormat="1" ht="13.5" x14ac:dyDescent="0.25">
      <c r="A5" s="848">
        <v>3</v>
      </c>
      <c r="B5" s="849" t="s">
        <v>557</v>
      </c>
      <c r="C5" s="849" t="s">
        <v>751</v>
      </c>
    </row>
    <row r="6" spans="1:7" s="850" customFormat="1" ht="13.5" x14ac:dyDescent="0.25">
      <c r="A6" s="848">
        <v>4</v>
      </c>
      <c r="B6" s="849" t="s">
        <v>558</v>
      </c>
      <c r="C6" s="849" t="s">
        <v>752</v>
      </c>
    </row>
    <row r="7" spans="1:7" s="850" customFormat="1" ht="13.5" x14ac:dyDescent="0.25">
      <c r="A7" s="848">
        <v>5</v>
      </c>
      <c r="B7" s="849" t="s">
        <v>559</v>
      </c>
      <c r="C7" s="849" t="s">
        <v>753</v>
      </c>
    </row>
    <row r="8" spans="1:7" s="850" customFormat="1" ht="13.5" x14ac:dyDescent="0.25">
      <c r="A8" s="848">
        <v>6</v>
      </c>
      <c r="B8" s="849" t="s">
        <v>560</v>
      </c>
      <c r="C8" s="849" t="s">
        <v>754</v>
      </c>
    </row>
    <row r="9" spans="1:7" s="850" customFormat="1" ht="13.5" x14ac:dyDescent="0.25">
      <c r="A9" s="848">
        <v>7</v>
      </c>
      <c r="B9" s="849" t="s">
        <v>561</v>
      </c>
      <c r="C9" s="849" t="s">
        <v>755</v>
      </c>
    </row>
    <row r="10" spans="1:7" s="850" customFormat="1" ht="13.5" x14ac:dyDescent="0.25">
      <c r="A10" s="848">
        <v>8</v>
      </c>
      <c r="B10" s="849" t="s">
        <v>562</v>
      </c>
      <c r="C10" s="849" t="s">
        <v>756</v>
      </c>
    </row>
    <row r="11" spans="1:7" s="850" customFormat="1" ht="13.5" x14ac:dyDescent="0.25">
      <c r="A11" s="848">
        <v>9</v>
      </c>
      <c r="B11" s="849" t="s">
        <v>563</v>
      </c>
      <c r="C11" s="849" t="s">
        <v>564</v>
      </c>
    </row>
    <row r="12" spans="1:7" s="850" customFormat="1" ht="13.5" x14ac:dyDescent="0.25">
      <c r="A12" s="848">
        <v>10</v>
      </c>
      <c r="B12" s="849" t="s">
        <v>757</v>
      </c>
      <c r="C12" s="849" t="s">
        <v>758</v>
      </c>
    </row>
    <row r="13" spans="1:7" s="850" customFormat="1" ht="13.5" x14ac:dyDescent="0.25">
      <c r="A13" s="848">
        <v>11</v>
      </c>
      <c r="B13" s="849" t="s">
        <v>565</v>
      </c>
      <c r="C13" s="849" t="s">
        <v>759</v>
      </c>
    </row>
    <row r="14" spans="1:7" s="850" customFormat="1" ht="13.5" x14ac:dyDescent="0.25">
      <c r="A14" s="848">
        <v>12</v>
      </c>
      <c r="B14" s="849" t="s">
        <v>566</v>
      </c>
      <c r="C14" s="849" t="s">
        <v>760</v>
      </c>
    </row>
    <row r="15" spans="1:7" s="850" customFormat="1" ht="13.5" x14ac:dyDescent="0.25">
      <c r="A15" s="848">
        <v>13</v>
      </c>
      <c r="B15" s="849" t="s">
        <v>567</v>
      </c>
      <c r="C15" s="849" t="s">
        <v>761</v>
      </c>
    </row>
    <row r="16" spans="1:7" s="850" customFormat="1" ht="13.5" x14ac:dyDescent="0.25">
      <c r="A16" s="848">
        <v>14</v>
      </c>
      <c r="B16" s="849" t="s">
        <v>568</v>
      </c>
      <c r="C16" s="849" t="s">
        <v>762</v>
      </c>
    </row>
    <row r="17" spans="1:3" s="850" customFormat="1" ht="13.5" x14ac:dyDescent="0.25">
      <c r="A17" s="848">
        <v>15</v>
      </c>
      <c r="B17" s="849" t="s">
        <v>569</v>
      </c>
      <c r="C17" s="849" t="s">
        <v>763</v>
      </c>
    </row>
    <row r="18" spans="1:3" s="850" customFormat="1" ht="13.5" x14ac:dyDescent="0.25">
      <c r="A18" s="848">
        <v>16</v>
      </c>
      <c r="B18" s="849" t="s">
        <v>570</v>
      </c>
      <c r="C18" s="849" t="s">
        <v>764</v>
      </c>
    </row>
    <row r="19" spans="1:3" s="850" customFormat="1" ht="13.5" x14ac:dyDescent="0.25">
      <c r="A19" s="848">
        <v>17</v>
      </c>
      <c r="B19" s="849" t="s">
        <v>571</v>
      </c>
      <c r="C19" s="849" t="s">
        <v>765</v>
      </c>
    </row>
    <row r="20" spans="1:3" s="850" customFormat="1" ht="13.5" x14ac:dyDescent="0.25">
      <c r="A20" s="848">
        <v>18</v>
      </c>
      <c r="B20" s="849" t="s">
        <v>572</v>
      </c>
      <c r="C20" s="849" t="s">
        <v>766</v>
      </c>
    </row>
    <row r="21" spans="1:3" s="850" customFormat="1" ht="13.5" x14ac:dyDescent="0.25">
      <c r="A21" s="848">
        <v>19</v>
      </c>
      <c r="B21" s="849" t="s">
        <v>573</v>
      </c>
      <c r="C21" s="849" t="s">
        <v>767</v>
      </c>
    </row>
    <row r="22" spans="1:3" s="850" customFormat="1" ht="13.5" x14ac:dyDescent="0.25">
      <c r="A22" s="848">
        <v>20</v>
      </c>
      <c r="B22" s="849" t="s">
        <v>574</v>
      </c>
      <c r="C22" s="849" t="s">
        <v>768</v>
      </c>
    </row>
    <row r="23" spans="1:3" s="850" customFormat="1" ht="13.5" x14ac:dyDescent="0.25">
      <c r="A23" s="848">
        <v>21</v>
      </c>
      <c r="B23" s="849" t="s">
        <v>575</v>
      </c>
      <c r="C23" s="849" t="s">
        <v>769</v>
      </c>
    </row>
    <row r="24" spans="1:3" s="850" customFormat="1" ht="13.5" x14ac:dyDescent="0.25">
      <c r="A24" s="848">
        <v>22</v>
      </c>
      <c r="B24" s="849" t="s">
        <v>576</v>
      </c>
      <c r="C24" s="849" t="s">
        <v>577</v>
      </c>
    </row>
    <row r="25" spans="1:3" s="850" customFormat="1" ht="13.5" x14ac:dyDescent="0.25">
      <c r="A25" s="848">
        <v>23</v>
      </c>
      <c r="B25" s="849" t="s">
        <v>578</v>
      </c>
      <c r="C25" s="849" t="s">
        <v>579</v>
      </c>
    </row>
    <row r="26" spans="1:3" s="850" customFormat="1" ht="13.5" x14ac:dyDescent="0.25">
      <c r="A26" s="848">
        <v>24</v>
      </c>
      <c r="B26" s="849" t="s">
        <v>580</v>
      </c>
      <c r="C26" s="849" t="s">
        <v>770</v>
      </c>
    </row>
    <row r="27" spans="1:3" s="850" customFormat="1" ht="13.5" x14ac:dyDescent="0.25">
      <c r="A27" s="848">
        <v>25</v>
      </c>
      <c r="B27" s="849" t="s">
        <v>581</v>
      </c>
      <c r="C27" s="849" t="s">
        <v>771</v>
      </c>
    </row>
    <row r="28" spans="1:3" s="850" customFormat="1" ht="13.5" x14ac:dyDescent="0.25">
      <c r="A28" s="848">
        <v>26</v>
      </c>
      <c r="B28" s="849" t="s">
        <v>582</v>
      </c>
      <c r="C28" s="849" t="s">
        <v>772</v>
      </c>
    </row>
    <row r="29" spans="1:3" s="850" customFormat="1" ht="13.5" x14ac:dyDescent="0.25">
      <c r="A29" s="848">
        <v>27</v>
      </c>
      <c r="B29" s="849" t="s">
        <v>583</v>
      </c>
      <c r="C29" s="849" t="s">
        <v>584</v>
      </c>
    </row>
    <row r="30" spans="1:3" s="850" customFormat="1" ht="13.5" x14ac:dyDescent="0.25">
      <c r="A30" s="848">
        <v>28</v>
      </c>
      <c r="B30" s="849" t="s">
        <v>585</v>
      </c>
      <c r="C30" s="849" t="s">
        <v>586</v>
      </c>
    </row>
    <row r="31" spans="1:3" s="850" customFormat="1" ht="13.5" x14ac:dyDescent="0.25">
      <c r="A31" s="848">
        <v>29</v>
      </c>
      <c r="B31" s="849" t="s">
        <v>587</v>
      </c>
      <c r="C31" s="849" t="s">
        <v>588</v>
      </c>
    </row>
    <row r="32" spans="1:3" s="850" customFormat="1" ht="13.5" x14ac:dyDescent="0.25">
      <c r="A32" s="848">
        <v>30</v>
      </c>
      <c r="B32" s="849" t="s">
        <v>773</v>
      </c>
      <c r="C32" s="849" t="s">
        <v>774</v>
      </c>
    </row>
    <row r="33" spans="1:3" s="850" customFormat="1" ht="13.5" x14ac:dyDescent="0.25">
      <c r="A33" s="848">
        <v>31</v>
      </c>
      <c r="B33" s="849" t="s">
        <v>589</v>
      </c>
      <c r="C33" s="849" t="s">
        <v>590</v>
      </c>
    </row>
    <row r="34" spans="1:3" s="850" customFormat="1" ht="13.5" x14ac:dyDescent="0.25">
      <c r="A34" s="848">
        <v>32</v>
      </c>
      <c r="B34" s="849" t="s">
        <v>591</v>
      </c>
      <c r="C34" s="849" t="s">
        <v>590</v>
      </c>
    </row>
    <row r="35" spans="1:3" s="850" customFormat="1" ht="13.5" x14ac:dyDescent="0.25">
      <c r="A35" s="848">
        <v>33</v>
      </c>
      <c r="B35" s="849" t="s">
        <v>592</v>
      </c>
      <c r="C35" s="849" t="s">
        <v>593</v>
      </c>
    </row>
    <row r="36" spans="1:3" s="850" customFormat="1" ht="13.5" x14ac:dyDescent="0.25">
      <c r="A36" s="848">
        <v>34</v>
      </c>
      <c r="B36" s="849" t="s">
        <v>594</v>
      </c>
      <c r="C36" s="849" t="s">
        <v>595</v>
      </c>
    </row>
    <row r="37" spans="1:3" s="850" customFormat="1" ht="13.5" x14ac:dyDescent="0.25">
      <c r="A37" s="848">
        <v>35</v>
      </c>
      <c r="B37" s="849" t="s">
        <v>596</v>
      </c>
      <c r="C37" s="849" t="s">
        <v>597</v>
      </c>
    </row>
    <row r="38" spans="1:3" s="850" customFormat="1" ht="13.5" x14ac:dyDescent="0.25">
      <c r="A38" s="848">
        <v>36</v>
      </c>
      <c r="B38" s="849" t="s">
        <v>598</v>
      </c>
      <c r="C38" s="849" t="s">
        <v>599</v>
      </c>
    </row>
    <row r="39" spans="1:3" s="850" customFormat="1" ht="13.5" x14ac:dyDescent="0.25">
      <c r="A39" s="848">
        <v>37</v>
      </c>
      <c r="B39" s="849" t="s">
        <v>600</v>
      </c>
      <c r="C39" s="849" t="s">
        <v>601</v>
      </c>
    </row>
    <row r="40" spans="1:3" s="850" customFormat="1" ht="13.5" x14ac:dyDescent="0.25">
      <c r="A40" s="848">
        <v>38</v>
      </c>
      <c r="B40" s="849" t="s">
        <v>602</v>
      </c>
      <c r="C40" s="849" t="s">
        <v>603</v>
      </c>
    </row>
    <row r="41" spans="1:3" s="850" customFormat="1" ht="13.5" x14ac:dyDescent="0.25">
      <c r="A41" s="848">
        <v>39</v>
      </c>
      <c r="B41" s="849" t="s">
        <v>604</v>
      </c>
      <c r="C41" s="849" t="s">
        <v>605</v>
      </c>
    </row>
    <row r="42" spans="1:3" s="850" customFormat="1" ht="13.5" x14ac:dyDescent="0.25">
      <c r="A42" s="848">
        <v>40</v>
      </c>
      <c r="B42" s="849" t="s">
        <v>606</v>
      </c>
      <c r="C42" s="849" t="s">
        <v>775</v>
      </c>
    </row>
    <row r="43" spans="1:3" s="850" customFormat="1" ht="13.5" x14ac:dyDescent="0.25">
      <c r="A43" s="848">
        <v>41</v>
      </c>
      <c r="B43" s="849" t="s">
        <v>607</v>
      </c>
      <c r="C43" s="849" t="s">
        <v>608</v>
      </c>
    </row>
    <row r="44" spans="1:3" s="850" customFormat="1" ht="13.5" x14ac:dyDescent="0.25">
      <c r="A44" s="848">
        <v>42</v>
      </c>
      <c r="B44" s="849" t="s">
        <v>609</v>
      </c>
      <c r="C44" s="849" t="s">
        <v>610</v>
      </c>
    </row>
    <row r="45" spans="1:3" s="850" customFormat="1" ht="13.5" x14ac:dyDescent="0.25">
      <c r="A45" s="848">
        <v>43</v>
      </c>
      <c r="B45" s="849" t="s">
        <v>611</v>
      </c>
      <c r="C45" s="849" t="s">
        <v>612</v>
      </c>
    </row>
    <row r="46" spans="1:3" s="850" customFormat="1" ht="13.5" x14ac:dyDescent="0.25">
      <c r="A46" s="848">
        <v>44</v>
      </c>
      <c r="B46" s="849" t="s">
        <v>613</v>
      </c>
      <c r="C46" s="849" t="s">
        <v>614</v>
      </c>
    </row>
    <row r="47" spans="1:3" s="850" customFormat="1" ht="13.5" x14ac:dyDescent="0.25">
      <c r="A47" s="848">
        <v>45</v>
      </c>
      <c r="B47" s="849" t="s">
        <v>615</v>
      </c>
      <c r="C47" s="849" t="s">
        <v>616</v>
      </c>
    </row>
    <row r="48" spans="1:3" s="850" customFormat="1" ht="13.5" x14ac:dyDescent="0.25">
      <c r="A48" s="848">
        <v>46</v>
      </c>
      <c r="B48" s="849" t="s">
        <v>617</v>
      </c>
      <c r="C48" s="849" t="s">
        <v>776</v>
      </c>
    </row>
    <row r="49" spans="1:3" s="850" customFormat="1" ht="13.5" x14ac:dyDescent="0.25">
      <c r="A49" s="848">
        <v>47</v>
      </c>
      <c r="B49" s="849" t="s">
        <v>618</v>
      </c>
      <c r="C49" s="849" t="s">
        <v>777</v>
      </c>
    </row>
    <row r="50" spans="1:3" s="850" customFormat="1" ht="13.5" x14ac:dyDescent="0.25">
      <c r="A50" s="848">
        <v>48</v>
      </c>
      <c r="B50" s="849" t="s">
        <v>619</v>
      </c>
      <c r="C50" s="849" t="s">
        <v>620</v>
      </c>
    </row>
    <row r="51" spans="1:3" s="850" customFormat="1" ht="13.5" x14ac:dyDescent="0.25">
      <c r="A51" s="848">
        <v>49</v>
      </c>
      <c r="B51" s="849" t="s">
        <v>621</v>
      </c>
      <c r="C51" s="849" t="s">
        <v>622</v>
      </c>
    </row>
    <row r="52" spans="1:3" s="850" customFormat="1" ht="13.5" x14ac:dyDescent="0.25">
      <c r="A52" s="848">
        <v>50</v>
      </c>
      <c r="B52" s="849" t="s">
        <v>623</v>
      </c>
      <c r="C52" s="849" t="s">
        <v>624</v>
      </c>
    </row>
    <row r="53" spans="1:3" s="850" customFormat="1" ht="13.5" x14ac:dyDescent="0.25">
      <c r="A53" s="848">
        <v>51</v>
      </c>
      <c r="B53" s="849" t="s">
        <v>625</v>
      </c>
      <c r="C53" s="849" t="s">
        <v>778</v>
      </c>
    </row>
    <row r="54" spans="1:3" s="850" customFormat="1" ht="13.5" x14ac:dyDescent="0.25">
      <c r="A54" s="848">
        <v>52</v>
      </c>
      <c r="B54" s="849" t="s">
        <v>626</v>
      </c>
      <c r="C54" s="849" t="s">
        <v>779</v>
      </c>
    </row>
    <row r="55" spans="1:3" s="850" customFormat="1" ht="13.5" x14ac:dyDescent="0.25">
      <c r="A55" s="848">
        <v>53</v>
      </c>
      <c r="B55" s="849" t="s">
        <v>627</v>
      </c>
      <c r="C55" s="849" t="s">
        <v>780</v>
      </c>
    </row>
    <row r="56" spans="1:3" s="850" customFormat="1" ht="13.5" x14ac:dyDescent="0.25">
      <c r="A56" s="848">
        <v>54</v>
      </c>
      <c r="B56" s="849" t="s">
        <v>628</v>
      </c>
      <c r="C56" s="849" t="s">
        <v>781</v>
      </c>
    </row>
    <row r="57" spans="1:3" s="850" customFormat="1" ht="13.5" x14ac:dyDescent="0.25">
      <c r="A57" s="848">
        <v>55</v>
      </c>
      <c r="B57" s="849" t="s">
        <v>629</v>
      </c>
      <c r="C57" s="849" t="s">
        <v>782</v>
      </c>
    </row>
    <row r="58" spans="1:3" s="850" customFormat="1" ht="13.5" x14ac:dyDescent="0.25">
      <c r="A58" s="848">
        <v>56</v>
      </c>
      <c r="B58" s="849" t="s">
        <v>630</v>
      </c>
      <c r="C58" s="849" t="s">
        <v>783</v>
      </c>
    </row>
    <row r="59" spans="1:3" s="850" customFormat="1" ht="13.5" x14ac:dyDescent="0.25">
      <c r="A59" s="848">
        <v>57</v>
      </c>
      <c r="B59" s="849" t="s">
        <v>631</v>
      </c>
      <c r="C59" s="849" t="s">
        <v>784</v>
      </c>
    </row>
    <row r="60" spans="1:3" s="850" customFormat="1" ht="13.5" x14ac:dyDescent="0.25">
      <c r="A60" s="848">
        <v>58</v>
      </c>
      <c r="B60" s="849" t="s">
        <v>632</v>
      </c>
      <c r="C60" s="849" t="s">
        <v>785</v>
      </c>
    </row>
    <row r="61" spans="1:3" s="850" customFormat="1" ht="13.5" x14ac:dyDescent="0.25">
      <c r="A61" s="848">
        <v>59</v>
      </c>
      <c r="B61" s="849" t="s">
        <v>633</v>
      </c>
      <c r="C61" s="849" t="s">
        <v>786</v>
      </c>
    </row>
    <row r="62" spans="1:3" s="850" customFormat="1" ht="13.5" x14ac:dyDescent="0.25">
      <c r="A62" s="848">
        <v>60</v>
      </c>
      <c r="B62" s="849" t="s">
        <v>634</v>
      </c>
      <c r="C62" s="849" t="s">
        <v>787</v>
      </c>
    </row>
    <row r="63" spans="1:3" s="850" customFormat="1" ht="13.5" x14ac:dyDescent="0.25">
      <c r="A63" s="848">
        <v>61</v>
      </c>
      <c r="B63" s="849" t="s">
        <v>635</v>
      </c>
      <c r="C63" s="849" t="s">
        <v>788</v>
      </c>
    </row>
    <row r="64" spans="1:3" s="850" customFormat="1" ht="13.5" x14ac:dyDescent="0.25">
      <c r="A64" s="848">
        <v>62</v>
      </c>
      <c r="B64" s="851" t="s">
        <v>789</v>
      </c>
      <c r="C64" s="851" t="s">
        <v>790</v>
      </c>
    </row>
    <row r="65" spans="1:3" s="850" customFormat="1" ht="13.5" x14ac:dyDescent="0.25">
      <c r="A65" s="848">
        <v>63</v>
      </c>
      <c r="B65" s="851" t="s">
        <v>791</v>
      </c>
      <c r="C65" s="851" t="s">
        <v>763</v>
      </c>
    </row>
  </sheetData>
  <mergeCells count="1">
    <mergeCell ref="A1:D1"/>
  </mergeCells>
  <printOptions horizontalCentered="1"/>
  <pageMargins left="0.70866141732283472" right="0.70866141732283472" top="0.19685039370078741" bottom="0.11811023622047245" header="0.11811023622047245" footer="0.11811023622047245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5" tint="0.59999389629810485"/>
    <pageSetUpPr fitToPage="1"/>
  </sheetPr>
  <dimension ref="A1:N38"/>
  <sheetViews>
    <sheetView view="pageBreakPreview" topLeftCell="F10" zoomScale="90" zoomScaleSheetLayoutView="90" workbookViewId="0">
      <selection activeCell="O10" sqref="O1:X1048576"/>
    </sheetView>
  </sheetViews>
  <sheetFormatPr defaultColWidth="9.140625" defaultRowHeight="12.75" x14ac:dyDescent="0.2"/>
  <cols>
    <col min="1" max="1" width="6" style="62" customWidth="1"/>
    <col min="2" max="2" width="16.85546875" style="62" customWidth="1"/>
    <col min="3" max="3" width="10.5703125" style="62" customWidth="1"/>
    <col min="4" max="4" width="9.85546875" style="62" customWidth="1"/>
    <col min="5" max="5" width="10.42578125" style="62" customWidth="1"/>
    <col min="6" max="6" width="10.85546875" style="62" customWidth="1"/>
    <col min="7" max="7" width="12" style="62" customWidth="1"/>
    <col min="8" max="8" width="12.42578125" style="62" customWidth="1"/>
    <col min="9" max="9" width="12.140625" style="62" customWidth="1"/>
    <col min="10" max="10" width="9" style="62" customWidth="1"/>
    <col min="11" max="11" width="12" style="62" customWidth="1"/>
    <col min="12" max="12" width="13.7109375" style="62" customWidth="1"/>
    <col min="13" max="13" width="9.140625" style="62" hidden="1" customWidth="1"/>
    <col min="14" max="16384" width="9.140625" style="62"/>
  </cols>
  <sheetData>
    <row r="1" spans="1:14" s="37" customFormat="1" x14ac:dyDescent="0.2">
      <c r="D1" s="83"/>
      <c r="E1" s="83"/>
      <c r="F1" s="83"/>
      <c r="G1" s="83"/>
      <c r="H1" s="83"/>
      <c r="I1" s="83"/>
      <c r="J1" s="83"/>
      <c r="K1" s="83"/>
      <c r="L1" s="1302" t="s">
        <v>64</v>
      </c>
      <c r="M1" s="1302"/>
    </row>
    <row r="2" spans="1:14" s="37" customFormat="1" ht="15" x14ac:dyDescent="0.2">
      <c r="A2" s="1303" t="s">
        <v>0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204"/>
    </row>
    <row r="3" spans="1:14" s="37" customFormat="1" ht="20.25" x14ac:dyDescent="0.3">
      <c r="A3" s="1304" t="s">
        <v>793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55"/>
    </row>
    <row r="4" spans="1:14" s="37" customFormat="1" ht="10.5" customHeight="1" x14ac:dyDescent="0.2"/>
    <row r="5" spans="1:14" ht="19.5" customHeight="1" x14ac:dyDescent="0.25">
      <c r="A5" s="1305" t="s">
        <v>818</v>
      </c>
      <c r="B5" s="1305"/>
      <c r="C5" s="1305"/>
      <c r="D5" s="1305"/>
      <c r="E5" s="1305"/>
      <c r="F5" s="1305"/>
      <c r="G5" s="1305"/>
      <c r="H5" s="1305"/>
      <c r="I5" s="1305"/>
      <c r="J5" s="1305"/>
      <c r="K5" s="1305"/>
      <c r="L5" s="1305"/>
    </row>
    <row r="6" spans="1:14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4" ht="15" x14ac:dyDescent="0.2">
      <c r="A7" s="1104" t="s">
        <v>679</v>
      </c>
      <c r="B7" s="1104"/>
      <c r="F7" s="1306" t="s">
        <v>14</v>
      </c>
      <c r="G7" s="1306"/>
      <c r="H7" s="1306"/>
      <c r="I7" s="1306"/>
      <c r="J7" s="1306"/>
      <c r="K7" s="1306"/>
      <c r="L7" s="1306"/>
    </row>
    <row r="8" spans="1:14" x14ac:dyDescent="0.2">
      <c r="A8" s="44"/>
      <c r="F8" s="206"/>
      <c r="G8" s="207"/>
      <c r="H8" s="207"/>
      <c r="I8" s="1308" t="s">
        <v>968</v>
      </c>
      <c r="J8" s="1308"/>
      <c r="K8" s="1308"/>
      <c r="L8" s="1308"/>
    </row>
    <row r="9" spans="1:14" s="44" customFormat="1" x14ac:dyDescent="0.2">
      <c r="A9" s="1309" t="s">
        <v>2</v>
      </c>
      <c r="B9" s="1309" t="s">
        <v>3</v>
      </c>
      <c r="C9" s="1310" t="s">
        <v>15</v>
      </c>
      <c r="D9" s="1311"/>
      <c r="E9" s="1311"/>
      <c r="F9" s="1311"/>
      <c r="G9" s="1311"/>
      <c r="H9" s="1309" t="s">
        <v>34</v>
      </c>
      <c r="I9" s="1309"/>
      <c r="J9" s="1309"/>
      <c r="K9" s="1309"/>
      <c r="L9" s="1309"/>
      <c r="N9" s="52"/>
    </row>
    <row r="10" spans="1:14" s="44" customFormat="1" ht="77.45" customHeight="1" x14ac:dyDescent="0.2">
      <c r="A10" s="1309"/>
      <c r="B10" s="1309"/>
      <c r="C10" s="781" t="s">
        <v>819</v>
      </c>
      <c r="D10" s="781" t="s">
        <v>820</v>
      </c>
      <c r="E10" s="193" t="s">
        <v>62</v>
      </c>
      <c r="F10" s="193" t="s">
        <v>63</v>
      </c>
      <c r="G10" s="193" t="s">
        <v>346</v>
      </c>
      <c r="H10" s="781" t="s">
        <v>819</v>
      </c>
      <c r="I10" s="781" t="s">
        <v>820</v>
      </c>
      <c r="J10" s="193" t="s">
        <v>62</v>
      </c>
      <c r="K10" s="193" t="s">
        <v>63</v>
      </c>
      <c r="L10" s="193" t="s">
        <v>347</v>
      </c>
    </row>
    <row r="11" spans="1:14" s="44" customFormat="1" ht="13.5" customHeight="1" x14ac:dyDescent="0.2">
      <c r="A11" s="129">
        <v>1</v>
      </c>
      <c r="B11" s="129">
        <v>2</v>
      </c>
      <c r="C11" s="129">
        <v>3</v>
      </c>
      <c r="D11" s="129">
        <v>4</v>
      </c>
      <c r="E11" s="129">
        <v>5</v>
      </c>
      <c r="F11" s="129">
        <v>6</v>
      </c>
      <c r="G11" s="129">
        <v>7</v>
      </c>
      <c r="H11" s="129">
        <v>8</v>
      </c>
      <c r="I11" s="129">
        <v>9</v>
      </c>
      <c r="J11" s="129">
        <v>10</v>
      </c>
      <c r="K11" s="129">
        <v>11</v>
      </c>
      <c r="L11" s="129">
        <v>12</v>
      </c>
    </row>
    <row r="12" spans="1:14" ht="21" customHeight="1" x14ac:dyDescent="0.2">
      <c r="A12" s="208">
        <v>1</v>
      </c>
      <c r="B12" s="209" t="s">
        <v>647</v>
      </c>
      <c r="C12" s="210">
        <v>2102.3969999999999</v>
      </c>
      <c r="D12" s="211">
        <v>291.07499999999999</v>
      </c>
      <c r="E12" s="210">
        <v>1709.5013499999998</v>
      </c>
      <c r="F12" s="210">
        <v>2052.8309999999997</v>
      </c>
      <c r="G12" s="196">
        <f>D12+E12-F12</f>
        <v>-52.254649999999856</v>
      </c>
      <c r="H12" s="1073" t="s">
        <v>671</v>
      </c>
      <c r="I12" s="1074"/>
      <c r="J12" s="1074"/>
      <c r="K12" s="1074"/>
      <c r="L12" s="1075"/>
    </row>
    <row r="13" spans="1:14" ht="21" customHeight="1" x14ac:dyDescent="0.2">
      <c r="A13" s="208">
        <v>2</v>
      </c>
      <c r="B13" s="209" t="s">
        <v>648</v>
      </c>
      <c r="C13" s="210">
        <v>1815.4949930335583</v>
      </c>
      <c r="D13" s="211">
        <v>251.35400000000001</v>
      </c>
      <c r="E13" s="210">
        <v>1472.3272468017701</v>
      </c>
      <c r="F13" s="210">
        <v>1976.6999999999998</v>
      </c>
      <c r="G13" s="196">
        <f t="shared" ref="G13:G24" si="0">D13+E13-F13</f>
        <v>-253.01875319822966</v>
      </c>
      <c r="H13" s="1076"/>
      <c r="I13" s="1077"/>
      <c r="J13" s="1077"/>
      <c r="K13" s="1077"/>
      <c r="L13" s="1078"/>
    </row>
    <row r="14" spans="1:14" ht="21" customHeight="1" x14ac:dyDescent="0.2">
      <c r="A14" s="208">
        <v>3</v>
      </c>
      <c r="B14" s="209" t="s">
        <v>649</v>
      </c>
      <c r="C14" s="210">
        <v>1933.9979999999998</v>
      </c>
      <c r="D14" s="211">
        <v>267.762</v>
      </c>
      <c r="E14" s="210">
        <v>1570.2909</v>
      </c>
      <c r="F14" s="210">
        <v>1933.7009999999998</v>
      </c>
      <c r="G14" s="196">
        <f t="shared" si="0"/>
        <v>-95.648099999999886</v>
      </c>
      <c r="H14" s="1076"/>
      <c r="I14" s="1077"/>
      <c r="J14" s="1077"/>
      <c r="K14" s="1077"/>
      <c r="L14" s="1078"/>
    </row>
    <row r="15" spans="1:14" ht="21" customHeight="1" x14ac:dyDescent="0.2">
      <c r="A15" s="208">
        <v>4</v>
      </c>
      <c r="B15" s="209" t="s">
        <v>650</v>
      </c>
      <c r="C15" s="210">
        <v>2876.2469999999998</v>
      </c>
      <c r="D15" s="211">
        <v>398.214</v>
      </c>
      <c r="E15" s="210">
        <v>2349.1988499999998</v>
      </c>
      <c r="F15" s="210">
        <v>3641.9789999999998</v>
      </c>
      <c r="G15" s="196">
        <f t="shared" si="0"/>
        <v>-894.56615000000011</v>
      </c>
      <c r="H15" s="1076"/>
      <c r="I15" s="1077"/>
      <c r="J15" s="1077"/>
      <c r="K15" s="1077"/>
      <c r="L15" s="1078"/>
    </row>
    <row r="16" spans="1:14" ht="21" customHeight="1" x14ac:dyDescent="0.2">
      <c r="A16" s="208">
        <v>5</v>
      </c>
      <c r="B16" s="209" t="s">
        <v>651</v>
      </c>
      <c r="C16" s="210">
        <v>2709.0158999999994</v>
      </c>
      <c r="D16" s="211">
        <v>373.57499999999999</v>
      </c>
      <c r="E16" s="210">
        <v>2199.5419561909848</v>
      </c>
      <c r="F16" s="210">
        <v>2977.0011</v>
      </c>
      <c r="G16" s="196">
        <f t="shared" si="0"/>
        <v>-403.88414380901531</v>
      </c>
      <c r="H16" s="1076"/>
      <c r="I16" s="1077"/>
      <c r="J16" s="1077"/>
      <c r="K16" s="1077"/>
      <c r="L16" s="1078"/>
    </row>
    <row r="17" spans="1:12" ht="21" customHeight="1" x14ac:dyDescent="0.2">
      <c r="A17" s="208">
        <v>6</v>
      </c>
      <c r="B17" s="209" t="s">
        <v>652</v>
      </c>
      <c r="C17" s="210">
        <v>2118.4883999999997</v>
      </c>
      <c r="D17" s="211">
        <v>293.017</v>
      </c>
      <c r="E17" s="210">
        <v>1721.9972999999998</v>
      </c>
      <c r="F17" s="210">
        <v>1975.7720999999997</v>
      </c>
      <c r="G17" s="196">
        <f t="shared" si="0"/>
        <v>39.242200000000139</v>
      </c>
      <c r="H17" s="1076"/>
      <c r="I17" s="1077"/>
      <c r="J17" s="1077" t="s">
        <v>8</v>
      </c>
      <c r="K17" s="1077"/>
      <c r="L17" s="1078"/>
    </row>
    <row r="18" spans="1:12" ht="21" customHeight="1" x14ac:dyDescent="0.2">
      <c r="A18" s="208">
        <v>7</v>
      </c>
      <c r="B18" s="209" t="s">
        <v>653</v>
      </c>
      <c r="C18" s="212">
        <v>4139.6256000000003</v>
      </c>
      <c r="D18" s="211">
        <v>572.154</v>
      </c>
      <c r="E18" s="210">
        <v>3383.5832999999998</v>
      </c>
      <c r="F18" s="212">
        <v>2769.2939999999994</v>
      </c>
      <c r="G18" s="196">
        <f t="shared" si="0"/>
        <v>1186.4433000000004</v>
      </c>
      <c r="H18" s="1076"/>
      <c r="I18" s="1077"/>
      <c r="J18" s="1077"/>
      <c r="K18" s="1077"/>
      <c r="L18" s="1078"/>
    </row>
    <row r="19" spans="1:12" ht="21" customHeight="1" x14ac:dyDescent="0.2">
      <c r="A19" s="208">
        <v>8</v>
      </c>
      <c r="B19" s="209" t="s">
        <v>654</v>
      </c>
      <c r="C19" s="212">
        <v>1777.4129999999998</v>
      </c>
      <c r="D19" s="211">
        <v>246.08099999999999</v>
      </c>
      <c r="E19" s="210">
        <v>1440.8541499999999</v>
      </c>
      <c r="F19" s="212">
        <v>1720.3229999999999</v>
      </c>
      <c r="G19" s="196">
        <f t="shared" si="0"/>
        <v>-33.387850000000071</v>
      </c>
      <c r="H19" s="1076"/>
      <c r="I19" s="1077"/>
      <c r="J19" s="1077"/>
      <c r="K19" s="1077"/>
      <c r="L19" s="1078"/>
    </row>
    <row r="20" spans="1:12" ht="21" customHeight="1" x14ac:dyDescent="0.2">
      <c r="A20" s="208">
        <v>9</v>
      </c>
      <c r="B20" s="209" t="s">
        <v>655</v>
      </c>
      <c r="C20" s="212">
        <v>2052.7196999999996</v>
      </c>
      <c r="D20" s="211">
        <v>283.07499999999999</v>
      </c>
      <c r="E20" s="210">
        <v>1656.6312999999998</v>
      </c>
      <c r="F20" s="212">
        <v>1819.7243999999998</v>
      </c>
      <c r="G20" s="196">
        <f t="shared" si="0"/>
        <v>119.9819</v>
      </c>
      <c r="H20" s="1076"/>
      <c r="I20" s="1077"/>
      <c r="J20" s="1077"/>
      <c r="K20" s="1077"/>
      <c r="L20" s="1078"/>
    </row>
    <row r="21" spans="1:12" ht="21" customHeight="1" x14ac:dyDescent="0.2">
      <c r="A21" s="208">
        <v>10</v>
      </c>
      <c r="B21" s="209" t="s">
        <v>656</v>
      </c>
      <c r="C21" s="212">
        <v>2640.5939999999996</v>
      </c>
      <c r="D21" s="211">
        <v>365.58800000000002</v>
      </c>
      <c r="E21" s="210">
        <v>2154.5526999999997</v>
      </c>
      <c r="F21" s="212">
        <v>2561.8559999999998</v>
      </c>
      <c r="G21" s="196">
        <f t="shared" si="0"/>
        <v>-41.715299999999843</v>
      </c>
      <c r="H21" s="1076"/>
      <c r="I21" s="1077"/>
      <c r="J21" s="1077"/>
      <c r="K21" s="1077"/>
      <c r="L21" s="1078"/>
    </row>
    <row r="22" spans="1:12" ht="21" customHeight="1" x14ac:dyDescent="0.2">
      <c r="A22" s="208">
        <v>11</v>
      </c>
      <c r="B22" s="209" t="s">
        <v>657</v>
      </c>
      <c r="C22" s="212">
        <v>2043.3269999999998</v>
      </c>
      <c r="D22" s="211">
        <v>282.89699999999999</v>
      </c>
      <c r="E22" s="210">
        <v>1660.6628499999997</v>
      </c>
      <c r="F22" s="212">
        <v>1984.1909999999998</v>
      </c>
      <c r="G22" s="196">
        <f t="shared" si="0"/>
        <v>-40.631150000000162</v>
      </c>
      <c r="H22" s="1076"/>
      <c r="I22" s="1077"/>
      <c r="J22" s="1077"/>
      <c r="K22" s="1077"/>
      <c r="L22" s="1078"/>
    </row>
    <row r="23" spans="1:12" ht="21" customHeight="1" x14ac:dyDescent="0.2">
      <c r="A23" s="208">
        <v>12</v>
      </c>
      <c r="B23" s="209" t="s">
        <v>658</v>
      </c>
      <c r="C23" s="212">
        <v>3328.9079999999999</v>
      </c>
      <c r="D23" s="211">
        <v>460.88499999999999</v>
      </c>
      <c r="E23" s="210">
        <v>2723.3813999999998</v>
      </c>
      <c r="F23" s="212">
        <v>3033.0959999999995</v>
      </c>
      <c r="G23" s="196">
        <f t="shared" si="0"/>
        <v>151.17039999999997</v>
      </c>
      <c r="H23" s="1076"/>
      <c r="I23" s="1077"/>
      <c r="J23" s="1077"/>
      <c r="K23" s="1077"/>
      <c r="L23" s="1078"/>
    </row>
    <row r="24" spans="1:12" ht="21" customHeight="1" x14ac:dyDescent="0.2">
      <c r="A24" s="208">
        <v>13</v>
      </c>
      <c r="B24" s="209" t="s">
        <v>659</v>
      </c>
      <c r="C24" s="212">
        <v>3705.7529999999997</v>
      </c>
      <c r="D24" s="211">
        <v>512.71799999999996</v>
      </c>
      <c r="E24" s="210">
        <v>3033.9481500000002</v>
      </c>
      <c r="F24" s="212">
        <v>3531.4274999999998</v>
      </c>
      <c r="G24" s="196">
        <f t="shared" si="0"/>
        <v>15.238650000000234</v>
      </c>
      <c r="H24" s="1079"/>
      <c r="I24" s="1080"/>
      <c r="J24" s="1080"/>
      <c r="K24" s="1080"/>
      <c r="L24" s="1081"/>
    </row>
    <row r="25" spans="1:12" ht="21" customHeight="1" x14ac:dyDescent="0.2">
      <c r="A25" s="1261" t="s">
        <v>660</v>
      </c>
      <c r="B25" s="1263"/>
      <c r="C25" s="199">
        <v>33243.98999265748</v>
      </c>
      <c r="D25" s="199">
        <f t="shared" ref="D25:G25" si="1">SUM(D12:D24)</f>
        <v>4598.3949999999995</v>
      </c>
      <c r="E25" s="199">
        <v>27076.471452992751</v>
      </c>
      <c r="F25" s="199">
        <f t="shared" si="1"/>
        <v>31977.896099999991</v>
      </c>
      <c r="G25" s="199">
        <f t="shared" si="1"/>
        <v>-303.02964700724419</v>
      </c>
      <c r="H25" s="213">
        <f>SUM(H12:H24)</f>
        <v>0</v>
      </c>
      <c r="I25" s="213">
        <f t="shared" ref="I25:L25" si="2">SUM(I12:I24)</f>
        <v>0</v>
      </c>
      <c r="J25" s="213">
        <f t="shared" si="2"/>
        <v>0</v>
      </c>
      <c r="K25" s="213">
        <f t="shared" si="2"/>
        <v>0</v>
      </c>
      <c r="L25" s="213">
        <f t="shared" si="2"/>
        <v>0</v>
      </c>
    </row>
    <row r="26" spans="1:12" ht="21" customHeight="1" x14ac:dyDescent="0.2">
      <c r="A26" s="1307"/>
      <c r="B26" s="1307"/>
      <c r="C26" s="1307"/>
      <c r="D26" s="1307"/>
      <c r="E26" s="1307"/>
      <c r="F26" s="1307"/>
      <c r="G26" s="1307"/>
      <c r="H26" s="1307"/>
      <c r="I26" s="1307"/>
      <c r="J26" s="1307"/>
      <c r="K26" s="1307"/>
      <c r="L26" s="1307"/>
    </row>
    <row r="27" spans="1:12" x14ac:dyDescent="0.2">
      <c r="H27" s="62" t="s">
        <v>8</v>
      </c>
    </row>
    <row r="28" spans="1:12" ht="60" customHeight="1" x14ac:dyDescent="0.2">
      <c r="A28" s="1294" t="s">
        <v>681</v>
      </c>
      <c r="B28" s="1294"/>
      <c r="C28" s="202"/>
      <c r="D28" s="202"/>
      <c r="E28" s="202"/>
      <c r="F28" s="1050"/>
      <c r="G28" s="1049"/>
      <c r="H28" s="203"/>
      <c r="I28" s="1142" t="s">
        <v>646</v>
      </c>
      <c r="J28" s="1142"/>
      <c r="K28" s="1142"/>
      <c r="L28" s="1142"/>
    </row>
    <row r="37" spans="6:6" x14ac:dyDescent="0.2">
      <c r="F37" s="62">
        <f>29373.75-27792.902</f>
        <v>1580.8480000000018</v>
      </c>
    </row>
    <row r="38" spans="6:6" x14ac:dyDescent="0.2">
      <c r="F38" s="62">
        <f>25609.13-24234.383</f>
        <v>1374.7469999999994</v>
      </c>
    </row>
  </sheetData>
  <mergeCells count="15">
    <mergeCell ref="A25:B25"/>
    <mergeCell ref="A26:L26"/>
    <mergeCell ref="A28:B28"/>
    <mergeCell ref="I8:L8"/>
    <mergeCell ref="A9:A10"/>
    <mergeCell ref="B9:B10"/>
    <mergeCell ref="C9:G9"/>
    <mergeCell ref="H9:L9"/>
    <mergeCell ref="I28:L28"/>
    <mergeCell ref="L1:M1"/>
    <mergeCell ref="A2:L2"/>
    <mergeCell ref="A3:L3"/>
    <mergeCell ref="A5:L5"/>
    <mergeCell ref="A7:B7"/>
    <mergeCell ref="F7:L7"/>
  </mergeCells>
  <printOptions horizontalCentered="1"/>
  <pageMargins left="0.70866141732283472" right="0.11811023622047245" top="0.51181102362204722" bottom="0.19685039370078741" header="0.19685039370078741" footer="0.19685039370078741"/>
  <pageSetup paperSize="9" scale="92" orientation="landscape" r:id="rId1"/>
  <headerFooter>
    <oddFooter>&amp;CSheet-72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5" tint="0.59999389629810485"/>
  </sheetPr>
  <dimension ref="A1:M29"/>
  <sheetViews>
    <sheetView view="pageBreakPreview" topLeftCell="A10" zoomScale="85" zoomScaleSheetLayoutView="85" workbookViewId="0">
      <selection activeCell="O10" sqref="O1:S1048576"/>
    </sheetView>
  </sheetViews>
  <sheetFormatPr defaultColWidth="9.140625" defaultRowHeight="12.75" x14ac:dyDescent="0.2"/>
  <cols>
    <col min="1" max="1" width="6.140625" style="202" customWidth="1"/>
    <col min="2" max="2" width="17.140625" style="202" customWidth="1"/>
    <col min="3" max="3" width="13" style="202" customWidth="1"/>
    <col min="4" max="4" width="12" style="202" customWidth="1"/>
    <col min="5" max="5" width="12.42578125" style="202" customWidth="1"/>
    <col min="6" max="6" width="12.7109375" style="202" customWidth="1"/>
    <col min="7" max="7" width="13.140625" style="202" customWidth="1"/>
    <col min="8" max="8" width="12.7109375" style="202" customWidth="1"/>
    <col min="9" max="10" width="12.140625" style="202" customWidth="1"/>
    <col min="11" max="11" width="15.140625" style="202" customWidth="1"/>
    <col min="12" max="12" width="13.140625" style="202" customWidth="1"/>
    <col min="13" max="13" width="12.7109375" style="202" customWidth="1"/>
    <col min="14" max="16384" width="9.140625" style="202"/>
  </cols>
  <sheetData>
    <row r="1" spans="1:13" x14ac:dyDescent="0.2">
      <c r="K1" s="1312" t="s">
        <v>192</v>
      </c>
      <c r="L1" s="1312"/>
      <c r="M1" s="1312"/>
    </row>
    <row r="2" spans="1:13" ht="12.75" customHeight="1" x14ac:dyDescent="0.2"/>
    <row r="3" spans="1:13" ht="15.75" x14ac:dyDescent="0.25">
      <c r="B3" s="1313" t="s">
        <v>0</v>
      </c>
      <c r="C3" s="1313"/>
      <c r="D3" s="1313"/>
      <c r="E3" s="1313"/>
      <c r="F3" s="1313"/>
      <c r="G3" s="1313"/>
      <c r="H3" s="1313"/>
      <c r="I3" s="1313"/>
      <c r="J3" s="1313"/>
      <c r="K3" s="1313"/>
    </row>
    <row r="4" spans="1:13" ht="20.25" x14ac:dyDescent="0.3">
      <c r="B4" s="1314" t="s">
        <v>793</v>
      </c>
      <c r="C4" s="1314"/>
      <c r="D4" s="1314"/>
      <c r="E4" s="1314"/>
      <c r="F4" s="1314"/>
      <c r="G4" s="1314"/>
      <c r="H4" s="1314"/>
      <c r="I4" s="1314"/>
      <c r="J4" s="1314"/>
      <c r="K4" s="1314"/>
    </row>
    <row r="5" spans="1:13" ht="10.5" customHeight="1" x14ac:dyDescent="0.2"/>
    <row r="6" spans="1:13" ht="15.75" x14ac:dyDescent="0.25">
      <c r="A6" s="214" t="s">
        <v>821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3" ht="15.75" x14ac:dyDescent="0.25">
      <c r="B7" s="215"/>
      <c r="C7" s="215"/>
      <c r="D7" s="215"/>
      <c r="E7" s="215"/>
      <c r="F7" s="215"/>
      <c r="G7" s="215"/>
      <c r="H7" s="215"/>
      <c r="L7" s="1315" t="s">
        <v>172</v>
      </c>
      <c r="M7" s="1315"/>
    </row>
    <row r="8" spans="1:13" ht="15.75" x14ac:dyDescent="0.25">
      <c r="A8" s="1284" t="s">
        <v>679</v>
      </c>
      <c r="B8" s="1284"/>
      <c r="C8" s="215"/>
      <c r="D8" s="215"/>
      <c r="E8" s="215"/>
      <c r="F8" s="215"/>
      <c r="G8" s="1316" t="s">
        <v>947</v>
      </c>
      <c r="H8" s="1316"/>
      <c r="I8" s="1316"/>
      <c r="J8" s="1316"/>
      <c r="K8" s="1316"/>
      <c r="L8" s="1316"/>
      <c r="M8" s="1316"/>
    </row>
    <row r="9" spans="1:13" ht="15.75" customHeight="1" x14ac:dyDescent="0.2">
      <c r="A9" s="1319" t="s">
        <v>17</v>
      </c>
      <c r="B9" s="1318" t="s">
        <v>3</v>
      </c>
      <c r="C9" s="1318" t="s">
        <v>822</v>
      </c>
      <c r="D9" s="1318" t="s">
        <v>823</v>
      </c>
      <c r="E9" s="1318" t="s">
        <v>205</v>
      </c>
      <c r="F9" s="1318" t="s">
        <v>204</v>
      </c>
      <c r="G9" s="1318"/>
      <c r="H9" s="1318" t="s">
        <v>169</v>
      </c>
      <c r="I9" s="1318"/>
      <c r="J9" s="1319" t="s">
        <v>415</v>
      </c>
      <c r="K9" s="1318" t="s">
        <v>171</v>
      </c>
      <c r="L9" s="1318" t="s">
        <v>394</v>
      </c>
      <c r="M9" s="1318" t="s">
        <v>222</v>
      </c>
    </row>
    <row r="10" spans="1:13" x14ac:dyDescent="0.2">
      <c r="A10" s="1320"/>
      <c r="B10" s="1318"/>
      <c r="C10" s="1318"/>
      <c r="D10" s="1318"/>
      <c r="E10" s="1318"/>
      <c r="F10" s="1318"/>
      <c r="G10" s="1318"/>
      <c r="H10" s="1318"/>
      <c r="I10" s="1318"/>
      <c r="J10" s="1320"/>
      <c r="K10" s="1318"/>
      <c r="L10" s="1318"/>
      <c r="M10" s="1318"/>
    </row>
    <row r="11" spans="1:13" ht="35.25" customHeight="1" x14ac:dyDescent="0.2">
      <c r="A11" s="1321"/>
      <c r="B11" s="1318"/>
      <c r="C11" s="1318"/>
      <c r="D11" s="1318"/>
      <c r="E11" s="1318"/>
      <c r="F11" s="216" t="s">
        <v>170</v>
      </c>
      <c r="G11" s="216" t="s">
        <v>223</v>
      </c>
      <c r="H11" s="216" t="s">
        <v>170</v>
      </c>
      <c r="I11" s="216" t="s">
        <v>223</v>
      </c>
      <c r="J11" s="1321"/>
      <c r="K11" s="1318"/>
      <c r="L11" s="1318"/>
      <c r="M11" s="1318"/>
    </row>
    <row r="12" spans="1:13" ht="17.25" customHeight="1" x14ac:dyDescent="0.2">
      <c r="A12" s="217">
        <v>1</v>
      </c>
      <c r="B12" s="217">
        <v>2</v>
      </c>
      <c r="C12" s="217">
        <v>3</v>
      </c>
      <c r="D12" s="217">
        <v>4</v>
      </c>
      <c r="E12" s="217">
        <v>5</v>
      </c>
      <c r="F12" s="217">
        <v>6</v>
      </c>
      <c r="G12" s="217">
        <v>7</v>
      </c>
      <c r="H12" s="217">
        <v>8</v>
      </c>
      <c r="I12" s="217">
        <v>9</v>
      </c>
      <c r="J12" s="217"/>
      <c r="K12" s="217">
        <v>10</v>
      </c>
      <c r="L12" s="216">
        <v>11</v>
      </c>
      <c r="M12" s="216">
        <v>12</v>
      </c>
    </row>
    <row r="13" spans="1:13" s="219" customFormat="1" ht="25.5" customHeight="1" x14ac:dyDescent="0.2">
      <c r="A13" s="940">
        <v>1</v>
      </c>
      <c r="B13" s="218" t="s">
        <v>647</v>
      </c>
      <c r="C13" s="971">
        <v>134.87327202986435</v>
      </c>
      <c r="D13" s="971">
        <v>0</v>
      </c>
      <c r="E13" s="972">
        <v>116.26259392532681</v>
      </c>
      <c r="F13" s="972">
        <v>3855.5010000000002</v>
      </c>
      <c r="G13" s="971">
        <f>F13*3030/100000</f>
        <v>116.82168030000001</v>
      </c>
      <c r="H13" s="973">
        <v>2978.431</v>
      </c>
      <c r="I13" s="634">
        <v>90.246459299999998</v>
      </c>
      <c r="J13" s="634">
        <f t="shared" ref="J13:J25" si="0">G13-I13</f>
        <v>26.575221000000013</v>
      </c>
      <c r="K13" s="634">
        <f t="shared" ref="K13:K25" si="1">D13+E13-I13</f>
        <v>26.016134625326814</v>
      </c>
      <c r="L13" s="634">
        <v>46.212859999999999</v>
      </c>
      <c r="M13" s="634">
        <v>46.212859999999999</v>
      </c>
    </row>
    <row r="14" spans="1:13" s="219" customFormat="1" ht="25.5" customHeight="1" x14ac:dyDescent="0.2">
      <c r="A14" s="940">
        <v>2</v>
      </c>
      <c r="B14" s="218" t="s">
        <v>648</v>
      </c>
      <c r="C14" s="971">
        <v>116.94077469227257</v>
      </c>
      <c r="D14" s="971">
        <v>0</v>
      </c>
      <c r="E14" s="972">
        <v>100.80453745016551</v>
      </c>
      <c r="F14" s="972">
        <v>3348.212</v>
      </c>
      <c r="G14" s="971">
        <f t="shared" ref="G14:G25" si="2">F14*3030/100000</f>
        <v>101.45082359999999</v>
      </c>
      <c r="H14" s="973">
        <v>2588.0520000000001</v>
      </c>
      <c r="I14" s="634">
        <v>78.417975600000005</v>
      </c>
      <c r="J14" s="634">
        <f t="shared" si="0"/>
        <v>23.032847999999987</v>
      </c>
      <c r="K14" s="634">
        <f t="shared" si="1"/>
        <v>22.386561850165506</v>
      </c>
      <c r="L14" s="634">
        <v>19.11009</v>
      </c>
      <c r="M14" s="634">
        <v>19.11</v>
      </c>
    </row>
    <row r="15" spans="1:13" s="219" customFormat="1" ht="25.5" customHeight="1" x14ac:dyDescent="0.2">
      <c r="A15" s="940">
        <v>3</v>
      </c>
      <c r="B15" s="218" t="s">
        <v>649</v>
      </c>
      <c r="C15" s="971">
        <v>147.00686378303953</v>
      </c>
      <c r="D15" s="971">
        <v>0</v>
      </c>
      <c r="E15" s="972">
        <v>126.72191495776043</v>
      </c>
      <c r="F15" s="972">
        <v>4110.6239999999998</v>
      </c>
      <c r="G15" s="971">
        <f t="shared" si="2"/>
        <v>124.55190719999999</v>
      </c>
      <c r="H15" s="973">
        <v>4110.6239999999998</v>
      </c>
      <c r="I15" s="634">
        <v>124.55190719999999</v>
      </c>
      <c r="J15" s="634">
        <f t="shared" si="0"/>
        <v>0</v>
      </c>
      <c r="K15" s="634">
        <f t="shared" si="1"/>
        <v>2.1700077577604446</v>
      </c>
      <c r="L15" s="634">
        <v>26.552250000000001</v>
      </c>
      <c r="M15" s="634">
        <v>26.552250000000001</v>
      </c>
    </row>
    <row r="16" spans="1:13" s="219" customFormat="1" ht="25.5" customHeight="1" x14ac:dyDescent="0.2">
      <c r="A16" s="940">
        <v>4</v>
      </c>
      <c r="B16" s="218" t="s">
        <v>650</v>
      </c>
      <c r="C16" s="971">
        <v>181.92970333640028</v>
      </c>
      <c r="D16" s="971">
        <v>0</v>
      </c>
      <c r="E16" s="972">
        <v>156.82587738563632</v>
      </c>
      <c r="F16" s="972">
        <v>6170.9809999999998</v>
      </c>
      <c r="G16" s="971">
        <f t="shared" si="2"/>
        <v>186.98072429999999</v>
      </c>
      <c r="H16" s="973">
        <v>4985.9889999999996</v>
      </c>
      <c r="I16" s="634">
        <v>151.07546669999999</v>
      </c>
      <c r="J16" s="634">
        <f t="shared" si="0"/>
        <v>35.905257599999999</v>
      </c>
      <c r="K16" s="634">
        <f t="shared" si="1"/>
        <v>5.7504106856363251</v>
      </c>
      <c r="L16" s="634">
        <v>29.66</v>
      </c>
      <c r="M16" s="634">
        <v>29.66</v>
      </c>
    </row>
    <row r="17" spans="1:13" s="219" customFormat="1" ht="25.5" customHeight="1" x14ac:dyDescent="0.2">
      <c r="A17" s="940">
        <v>5</v>
      </c>
      <c r="B17" s="218" t="s">
        <v>651</v>
      </c>
      <c r="C17" s="971">
        <v>163.66421709704937</v>
      </c>
      <c r="D17" s="971">
        <v>0</v>
      </c>
      <c r="E17" s="972">
        <v>141.08077995058574</v>
      </c>
      <c r="F17" s="972">
        <v>4700.4169999999995</v>
      </c>
      <c r="G17" s="971">
        <f t="shared" si="2"/>
        <v>142.42263509999998</v>
      </c>
      <c r="H17" s="973">
        <v>3628.4470000000001</v>
      </c>
      <c r="I17" s="634">
        <v>109.9419441</v>
      </c>
      <c r="J17" s="634">
        <f t="shared" si="0"/>
        <v>32.480690999999979</v>
      </c>
      <c r="K17" s="634">
        <f t="shared" si="1"/>
        <v>31.138835850585735</v>
      </c>
      <c r="L17" s="634">
        <v>0</v>
      </c>
      <c r="M17" s="634">
        <v>0</v>
      </c>
    </row>
    <row r="18" spans="1:13" s="219" customFormat="1" ht="25.5" customHeight="1" x14ac:dyDescent="0.2">
      <c r="A18" s="1054">
        <v>6</v>
      </c>
      <c r="B18" s="218" t="s">
        <v>652</v>
      </c>
      <c r="C18" s="971">
        <v>159.10021275937842</v>
      </c>
      <c r="D18" s="971">
        <v>0</v>
      </c>
      <c r="E18" s="972">
        <v>137.14654616951032</v>
      </c>
      <c r="F18" s="972">
        <v>4406.9306930693074</v>
      </c>
      <c r="G18" s="971">
        <f t="shared" si="2"/>
        <v>133.53000000000003</v>
      </c>
      <c r="H18" s="973">
        <f>725.4+1018.04</f>
        <v>1743.44</v>
      </c>
      <c r="I18" s="634">
        <v>52.826232000000005</v>
      </c>
      <c r="J18" s="634">
        <f t="shared" si="0"/>
        <v>80.703768000000025</v>
      </c>
      <c r="K18" s="634">
        <f t="shared" si="1"/>
        <v>84.320314169510311</v>
      </c>
      <c r="L18" s="634">
        <v>32.427</v>
      </c>
      <c r="M18" s="634">
        <v>32.427</v>
      </c>
    </row>
    <row r="19" spans="1:13" s="219" customFormat="1" ht="25.5" customHeight="1" x14ac:dyDescent="0.2">
      <c r="A19" s="940">
        <v>7</v>
      </c>
      <c r="B19" s="218" t="s">
        <v>653</v>
      </c>
      <c r="C19" s="971">
        <v>188.37564929671035</v>
      </c>
      <c r="D19" s="971">
        <v>0</v>
      </c>
      <c r="E19" s="972">
        <v>162.38237042809914</v>
      </c>
      <c r="F19" s="972">
        <v>4371.5310000000009</v>
      </c>
      <c r="G19" s="971">
        <f t="shared" si="2"/>
        <v>132.45738930000005</v>
      </c>
      <c r="H19" s="973">
        <v>4371.5310000000009</v>
      </c>
      <c r="I19" s="634">
        <v>132.45738930000005</v>
      </c>
      <c r="J19" s="634">
        <f t="shared" si="0"/>
        <v>0</v>
      </c>
      <c r="K19" s="634">
        <f t="shared" si="1"/>
        <v>29.924981128099091</v>
      </c>
      <c r="L19" s="634">
        <v>88.14</v>
      </c>
      <c r="M19" s="634">
        <v>88.14</v>
      </c>
    </row>
    <row r="20" spans="1:13" s="219" customFormat="1" ht="25.5" customHeight="1" x14ac:dyDescent="0.2">
      <c r="A20" s="940">
        <v>8</v>
      </c>
      <c r="B20" s="218" t="s">
        <v>654</v>
      </c>
      <c r="C20" s="971">
        <v>145.28747141585683</v>
      </c>
      <c r="D20" s="971">
        <v>0</v>
      </c>
      <c r="E20" s="972">
        <v>125.23977536423291</v>
      </c>
      <c r="F20" s="972">
        <v>4030.5804502386409</v>
      </c>
      <c r="G20" s="971">
        <f t="shared" si="2"/>
        <v>122.12658764223082</v>
      </c>
      <c r="H20" s="973">
        <v>4030.5804502386409</v>
      </c>
      <c r="I20" s="634">
        <v>122.12658764223082</v>
      </c>
      <c r="J20" s="634">
        <f t="shared" si="0"/>
        <v>0</v>
      </c>
      <c r="K20" s="634">
        <f t="shared" si="1"/>
        <v>3.1131877220020954</v>
      </c>
      <c r="L20" s="634">
        <v>24.765999999999998</v>
      </c>
      <c r="M20" s="634">
        <v>24.765999999999998</v>
      </c>
    </row>
    <row r="21" spans="1:13" s="219" customFormat="1" ht="25.5" customHeight="1" x14ac:dyDescent="0.2">
      <c r="A21" s="940">
        <v>9</v>
      </c>
      <c r="B21" s="218" t="s">
        <v>655</v>
      </c>
      <c r="C21" s="971">
        <v>148.19284208862726</v>
      </c>
      <c r="D21" s="971">
        <v>0</v>
      </c>
      <c r="E21" s="972">
        <v>127.74424437908762</v>
      </c>
      <c r="F21" s="972">
        <v>3003.2950000000001</v>
      </c>
      <c r="G21" s="971">
        <f t="shared" si="2"/>
        <v>90.999838499999996</v>
      </c>
      <c r="H21" s="973">
        <v>3003.2950000000001</v>
      </c>
      <c r="I21" s="634">
        <v>90.999838499999996</v>
      </c>
      <c r="J21" s="634">
        <f t="shared" si="0"/>
        <v>0</v>
      </c>
      <c r="K21" s="634">
        <f t="shared" si="1"/>
        <v>36.744405879087623</v>
      </c>
      <c r="L21" s="634">
        <v>42.29</v>
      </c>
      <c r="M21" s="634">
        <v>42.29</v>
      </c>
    </row>
    <row r="22" spans="1:13" s="219" customFormat="1" ht="25.5" customHeight="1" x14ac:dyDescent="0.2">
      <c r="A22" s="940">
        <v>10</v>
      </c>
      <c r="B22" s="218" t="s">
        <v>656</v>
      </c>
      <c r="C22" s="971">
        <v>180.03513652887125</v>
      </c>
      <c r="D22" s="971">
        <v>0</v>
      </c>
      <c r="E22" s="972">
        <v>155.19273504325011</v>
      </c>
      <c r="F22" s="972">
        <v>5078.4849999999997</v>
      </c>
      <c r="G22" s="971">
        <f t="shared" si="2"/>
        <v>153.8780955</v>
      </c>
      <c r="H22" s="973">
        <v>3925.1750000000002</v>
      </c>
      <c r="I22" s="634">
        <v>118.93280249999999</v>
      </c>
      <c r="J22" s="634">
        <f t="shared" si="0"/>
        <v>34.945293000000007</v>
      </c>
      <c r="K22" s="634">
        <f t="shared" si="1"/>
        <v>36.259932543250116</v>
      </c>
      <c r="L22" s="634">
        <v>0</v>
      </c>
      <c r="M22" s="634">
        <v>0</v>
      </c>
    </row>
    <row r="23" spans="1:13" s="219" customFormat="1" ht="25.5" customHeight="1" x14ac:dyDescent="0.2">
      <c r="A23" s="940">
        <v>11</v>
      </c>
      <c r="B23" s="218" t="s">
        <v>657</v>
      </c>
      <c r="C23" s="971">
        <v>143.16486220625538</v>
      </c>
      <c r="D23" s="971">
        <v>0</v>
      </c>
      <c r="E23" s="972">
        <v>123.4100573713054</v>
      </c>
      <c r="F23" s="972">
        <v>4043.4650000000001</v>
      </c>
      <c r="G23" s="971">
        <f t="shared" si="2"/>
        <v>122.51698950000001</v>
      </c>
      <c r="H23" s="973">
        <v>3120.9549999999999</v>
      </c>
      <c r="I23" s="634">
        <v>94.564936500000002</v>
      </c>
      <c r="J23" s="634">
        <f t="shared" si="0"/>
        <v>27.952053000000006</v>
      </c>
      <c r="K23" s="634">
        <f t="shared" si="1"/>
        <v>28.845120871305397</v>
      </c>
      <c r="L23" s="634">
        <v>17.829999999999998</v>
      </c>
      <c r="M23" s="634">
        <v>0</v>
      </c>
    </row>
    <row r="24" spans="1:13" s="219" customFormat="1" ht="25.5" customHeight="1" x14ac:dyDescent="0.2">
      <c r="A24" s="940">
        <v>12</v>
      </c>
      <c r="B24" s="218" t="s">
        <v>658</v>
      </c>
      <c r="C24" s="971">
        <v>209.65618750256209</v>
      </c>
      <c r="D24" s="971">
        <v>0</v>
      </c>
      <c r="E24" s="972">
        <v>180.72648364418174</v>
      </c>
      <c r="F24" s="972">
        <v>5993.674</v>
      </c>
      <c r="G24" s="971">
        <f t="shared" si="2"/>
        <v>181.60832219999998</v>
      </c>
      <c r="H24" s="973">
        <v>4627.5230000000001</v>
      </c>
      <c r="I24" s="634">
        <v>140.21394690000002</v>
      </c>
      <c r="J24" s="634">
        <f t="shared" si="0"/>
        <v>41.39437529999995</v>
      </c>
      <c r="K24" s="634">
        <f t="shared" si="1"/>
        <v>40.512536744181716</v>
      </c>
      <c r="L24" s="634">
        <v>36.39</v>
      </c>
      <c r="M24" s="634">
        <v>0</v>
      </c>
    </row>
    <row r="25" spans="1:13" s="219" customFormat="1" ht="25.5" customHeight="1" x14ac:dyDescent="0.2">
      <c r="A25" s="940">
        <v>13</v>
      </c>
      <c r="B25" s="218" t="s">
        <v>659</v>
      </c>
      <c r="C25" s="971">
        <v>248.94260658346781</v>
      </c>
      <c r="D25" s="971">
        <v>0</v>
      </c>
      <c r="E25" s="972">
        <v>214.59191094227666</v>
      </c>
      <c r="F25" s="972">
        <v>4427.8140000000003</v>
      </c>
      <c r="G25" s="971">
        <f t="shared" si="2"/>
        <v>134.16276420000003</v>
      </c>
      <c r="H25" s="973">
        <v>2816.9340000000002</v>
      </c>
      <c r="I25" s="634">
        <v>85.353100200000014</v>
      </c>
      <c r="J25" s="634">
        <f t="shared" si="0"/>
        <v>48.809664000000012</v>
      </c>
      <c r="K25" s="634">
        <f t="shared" si="1"/>
        <v>129.23881074227666</v>
      </c>
      <c r="L25" s="634">
        <v>82.36</v>
      </c>
      <c r="M25" s="634">
        <v>0</v>
      </c>
    </row>
    <row r="26" spans="1:13" s="220" customFormat="1" ht="25.5" customHeight="1" x14ac:dyDescent="0.2">
      <c r="A26" s="1322" t="s">
        <v>660</v>
      </c>
      <c r="B26" s="1323"/>
      <c r="C26" s="974">
        <f>SUM(C13:C25)</f>
        <v>2167.1697993203557</v>
      </c>
      <c r="D26" s="974">
        <f t="shared" ref="D26" si="3">SUM(D13:D25)</f>
        <v>0</v>
      </c>
      <c r="E26" s="975">
        <f t="shared" ref="E26:J26" si="4">SUM(E13:E25)</f>
        <v>1868.1298270114187</v>
      </c>
      <c r="F26" s="975">
        <f t="shared" si="4"/>
        <v>57541.51014330794</v>
      </c>
      <c r="G26" s="974">
        <f t="shared" si="4"/>
        <v>1743.5077573422309</v>
      </c>
      <c r="H26" s="975">
        <f t="shared" si="4"/>
        <v>45930.976450238646</v>
      </c>
      <c r="I26" s="974">
        <f t="shared" si="4"/>
        <v>1391.7085864422309</v>
      </c>
      <c r="J26" s="974">
        <f t="shared" si="4"/>
        <v>351.79917090000004</v>
      </c>
      <c r="K26" s="974">
        <f t="shared" ref="K26:M26" si="5">SUM(K13:K25)</f>
        <v>476.42124056918783</v>
      </c>
      <c r="L26" s="974">
        <f t="shared" si="5"/>
        <v>445.73820000000001</v>
      </c>
      <c r="M26" s="974">
        <f t="shared" si="5"/>
        <v>309.15811000000002</v>
      </c>
    </row>
    <row r="27" spans="1:13" s="220" customFormat="1" ht="25.5" customHeight="1" x14ac:dyDescent="0.2">
      <c r="A27" s="635"/>
      <c r="B27" s="635"/>
      <c r="C27" s="635"/>
      <c r="D27" s="635"/>
      <c r="E27" s="635"/>
      <c r="F27" s="1061"/>
      <c r="G27" s="635"/>
      <c r="H27" s="635"/>
      <c r="I27" s="635"/>
      <c r="J27" s="635"/>
      <c r="K27" s="635"/>
      <c r="L27" s="635"/>
      <c r="M27" s="635"/>
    </row>
    <row r="28" spans="1:13" ht="13.5" x14ac:dyDescent="0.25">
      <c r="A28" s="636"/>
      <c r="B28" s="636"/>
      <c r="C28" s="636"/>
      <c r="D28" s="636"/>
      <c r="E28" s="636"/>
      <c r="F28" s="637"/>
      <c r="G28" s="718"/>
      <c r="H28" s="636"/>
      <c r="I28" s="636"/>
      <c r="J28" s="636"/>
      <c r="K28" s="636"/>
      <c r="L28" s="636"/>
      <c r="M28" s="636"/>
    </row>
    <row r="29" spans="1:13" ht="60" customHeight="1" x14ac:dyDescent="0.25">
      <c r="A29" s="1317" t="s">
        <v>681</v>
      </c>
      <c r="B29" s="1317"/>
      <c r="C29" s="636"/>
      <c r="D29" s="636"/>
      <c r="E29" s="636"/>
      <c r="F29" s="637"/>
      <c r="G29" s="637"/>
      <c r="H29" s="637"/>
      <c r="I29" s="636"/>
      <c r="J29" s="636"/>
      <c r="K29" s="1284" t="s">
        <v>646</v>
      </c>
      <c r="L29" s="1284"/>
      <c r="M29" s="1284"/>
    </row>
  </sheetData>
  <mergeCells count="20">
    <mergeCell ref="A29:B29"/>
    <mergeCell ref="K29:M29"/>
    <mergeCell ref="H9:I10"/>
    <mergeCell ref="J9:J11"/>
    <mergeCell ref="K9:K11"/>
    <mergeCell ref="L9:L11"/>
    <mergeCell ref="M9:M11"/>
    <mergeCell ref="A26:B26"/>
    <mergeCell ref="A9:A11"/>
    <mergeCell ref="B9:B11"/>
    <mergeCell ref="C9:C11"/>
    <mergeCell ref="D9:D11"/>
    <mergeCell ref="E9:E11"/>
    <mergeCell ref="F9:G10"/>
    <mergeCell ref="K1:M1"/>
    <mergeCell ref="B3:K3"/>
    <mergeCell ref="B4:K4"/>
    <mergeCell ref="L7:M7"/>
    <mergeCell ref="A8:B8"/>
    <mergeCell ref="G8:M8"/>
  </mergeCells>
  <printOptions horizontalCentered="1"/>
  <pageMargins left="0.75" right="0.2" top="0.5" bottom="0.23" header="0.2" footer="0.2"/>
  <pageSetup paperSize="9" scale="80" orientation="landscape" r:id="rId1"/>
  <headerFooter>
    <oddFooter>&amp;CSheet-73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 tint="0.59999389629810485"/>
  </sheetPr>
  <dimension ref="A1:R27"/>
  <sheetViews>
    <sheetView view="pageBreakPreview" topLeftCell="A4" zoomScale="90" zoomScaleSheetLayoutView="90" workbookViewId="0">
      <selection activeCell="O10" sqref="O10"/>
    </sheetView>
  </sheetViews>
  <sheetFormatPr defaultColWidth="9.140625" defaultRowHeight="12.75" x14ac:dyDescent="0.2"/>
  <cols>
    <col min="1" max="1" width="6" style="184" customWidth="1"/>
    <col min="2" max="2" width="16.7109375" style="184" customWidth="1"/>
    <col min="3" max="3" width="10.5703125" style="184" customWidth="1"/>
    <col min="4" max="4" width="9.85546875" style="184" customWidth="1"/>
    <col min="5" max="5" width="8.7109375" style="184" customWidth="1"/>
    <col min="6" max="6" width="10.85546875" style="184" customWidth="1"/>
    <col min="7" max="7" width="13.28515625" style="184" customWidth="1"/>
    <col min="8" max="8" width="12.42578125" style="184" customWidth="1"/>
    <col min="9" max="9" width="12.140625" style="184" customWidth="1"/>
    <col min="10" max="10" width="9" style="184" customWidth="1"/>
    <col min="11" max="11" width="12" style="184" customWidth="1"/>
    <col min="12" max="12" width="15" style="184" customWidth="1"/>
    <col min="13" max="13" width="9.140625" style="184" hidden="1" customWidth="1"/>
    <col min="14" max="16384" width="9.140625" style="184"/>
  </cols>
  <sheetData>
    <row r="1" spans="1:18" s="183" customFormat="1" ht="15" x14ac:dyDescent="0.2">
      <c r="D1" s="222"/>
      <c r="E1" s="222"/>
      <c r="F1" s="222"/>
      <c r="G1" s="222"/>
      <c r="H1" s="222"/>
      <c r="I1" s="222"/>
      <c r="J1" s="222"/>
      <c r="K1" s="222"/>
      <c r="L1" s="1324" t="s">
        <v>416</v>
      </c>
      <c r="M1" s="1324"/>
      <c r="N1" s="1324"/>
      <c r="O1" s="223"/>
      <c r="P1" s="223"/>
    </row>
    <row r="2" spans="1:18" s="183" customFormat="1" ht="15" x14ac:dyDescent="0.2">
      <c r="A2" s="1325" t="s">
        <v>0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224"/>
      <c r="N2" s="224"/>
      <c r="O2" s="224"/>
      <c r="P2" s="224"/>
    </row>
    <row r="3" spans="1:18" s="183" customFormat="1" ht="20.25" x14ac:dyDescent="0.3">
      <c r="A3" s="1326" t="s">
        <v>793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225"/>
      <c r="N3" s="225"/>
      <c r="O3" s="225"/>
      <c r="P3" s="225"/>
    </row>
    <row r="4" spans="1:18" s="183" customFormat="1" ht="10.5" customHeight="1" x14ac:dyDescent="0.2"/>
    <row r="5" spans="1:18" ht="19.5" customHeight="1" x14ac:dyDescent="0.25">
      <c r="A5" s="1327" t="s">
        <v>824</v>
      </c>
      <c r="B5" s="1327"/>
      <c r="C5" s="1327"/>
      <c r="D5" s="1327"/>
      <c r="E5" s="1327"/>
      <c r="F5" s="1327"/>
      <c r="G5" s="1327"/>
      <c r="H5" s="1327"/>
      <c r="I5" s="1327"/>
      <c r="J5" s="1327"/>
      <c r="K5" s="1327"/>
      <c r="L5" s="1327"/>
    </row>
    <row r="6" spans="1:18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8" s="227" customFormat="1" ht="16.5" x14ac:dyDescent="0.2">
      <c r="A7" s="1328" t="s">
        <v>679</v>
      </c>
      <c r="B7" s="1328"/>
      <c r="C7" s="1328"/>
      <c r="F7" s="1329" t="s">
        <v>14</v>
      </c>
      <c r="G7" s="1329"/>
      <c r="H7" s="1329"/>
      <c r="I7" s="1329"/>
      <c r="J7" s="1329"/>
      <c r="K7" s="1329"/>
      <c r="L7" s="1329"/>
    </row>
    <row r="8" spans="1:18" s="227" customFormat="1" ht="16.5" x14ac:dyDescent="0.2">
      <c r="A8" s="228"/>
      <c r="F8" s="229"/>
      <c r="G8" s="230"/>
      <c r="H8" s="230"/>
      <c r="I8" s="1334" t="s">
        <v>947</v>
      </c>
      <c r="J8" s="1334"/>
      <c r="K8" s="1334"/>
      <c r="L8" s="1334"/>
    </row>
    <row r="9" spans="1:18" s="228" customFormat="1" ht="15" x14ac:dyDescent="0.2">
      <c r="A9" s="1274" t="s">
        <v>2</v>
      </c>
      <c r="B9" s="1274" t="s">
        <v>3</v>
      </c>
      <c r="C9" s="1274" t="s">
        <v>18</v>
      </c>
      <c r="D9" s="1274"/>
      <c r="E9" s="1274"/>
      <c r="F9" s="1274"/>
      <c r="G9" s="1274"/>
      <c r="H9" s="1274" t="s">
        <v>19</v>
      </c>
      <c r="I9" s="1274"/>
      <c r="J9" s="1274"/>
      <c r="K9" s="1274"/>
      <c r="L9" s="1274"/>
      <c r="R9" s="232"/>
    </row>
    <row r="10" spans="1:18" s="228" customFormat="1" ht="77.45" customHeight="1" x14ac:dyDescent="0.2">
      <c r="A10" s="1274"/>
      <c r="B10" s="1274"/>
      <c r="C10" s="782" t="s">
        <v>819</v>
      </c>
      <c r="D10" s="782" t="s">
        <v>823</v>
      </c>
      <c r="E10" s="167" t="s">
        <v>62</v>
      </c>
      <c r="F10" s="167" t="s">
        <v>63</v>
      </c>
      <c r="G10" s="167" t="s">
        <v>348</v>
      </c>
      <c r="H10" s="782" t="s">
        <v>819</v>
      </c>
      <c r="I10" s="782" t="s">
        <v>823</v>
      </c>
      <c r="J10" s="167" t="s">
        <v>62</v>
      </c>
      <c r="K10" s="167" t="s">
        <v>63</v>
      </c>
      <c r="L10" s="167" t="s">
        <v>349</v>
      </c>
    </row>
    <row r="11" spans="1:18" s="228" customFormat="1" ht="15" x14ac:dyDescent="0.2">
      <c r="A11" s="167">
        <v>1</v>
      </c>
      <c r="B11" s="167">
        <v>2</v>
      </c>
      <c r="C11" s="167">
        <v>3</v>
      </c>
      <c r="D11" s="167">
        <v>4</v>
      </c>
      <c r="E11" s="167">
        <v>5</v>
      </c>
      <c r="F11" s="167">
        <v>6</v>
      </c>
      <c r="G11" s="167">
        <v>7</v>
      </c>
      <c r="H11" s="167">
        <v>8</v>
      </c>
      <c r="I11" s="167">
        <v>9</v>
      </c>
      <c r="J11" s="167">
        <v>10</v>
      </c>
      <c r="K11" s="167">
        <v>11</v>
      </c>
      <c r="L11" s="167">
        <v>12</v>
      </c>
    </row>
    <row r="12" spans="1:18" s="227" customFormat="1" ht="18" customHeight="1" x14ac:dyDescent="0.2">
      <c r="A12" s="233">
        <v>1</v>
      </c>
      <c r="B12" s="173" t="s">
        <v>647</v>
      </c>
      <c r="C12" s="1335" t="s">
        <v>671</v>
      </c>
      <c r="D12" s="1336"/>
      <c r="E12" s="1336"/>
      <c r="F12" s="1336"/>
      <c r="G12" s="1336"/>
      <c r="H12" s="1336"/>
      <c r="I12" s="1336"/>
      <c r="J12" s="1336"/>
      <c r="K12" s="1336"/>
      <c r="L12" s="1337"/>
    </row>
    <row r="13" spans="1:18" s="227" customFormat="1" ht="18" customHeight="1" x14ac:dyDescent="0.2">
      <c r="A13" s="233">
        <v>2</v>
      </c>
      <c r="B13" s="173" t="s">
        <v>648</v>
      </c>
      <c r="C13" s="1338"/>
      <c r="D13" s="1339"/>
      <c r="E13" s="1339"/>
      <c r="F13" s="1339"/>
      <c r="G13" s="1339"/>
      <c r="H13" s="1339"/>
      <c r="I13" s="1339"/>
      <c r="J13" s="1339"/>
      <c r="K13" s="1339"/>
      <c r="L13" s="1340"/>
    </row>
    <row r="14" spans="1:18" s="227" customFormat="1" ht="18" customHeight="1" x14ac:dyDescent="0.2">
      <c r="A14" s="233">
        <v>3</v>
      </c>
      <c r="B14" s="173" t="s">
        <v>649</v>
      </c>
      <c r="C14" s="1338"/>
      <c r="D14" s="1339"/>
      <c r="E14" s="1339"/>
      <c r="F14" s="1339"/>
      <c r="G14" s="1339"/>
      <c r="H14" s="1339"/>
      <c r="I14" s="1339"/>
      <c r="J14" s="1339"/>
      <c r="K14" s="1339"/>
      <c r="L14" s="1340"/>
    </row>
    <row r="15" spans="1:18" s="227" customFormat="1" ht="18" customHeight="1" x14ac:dyDescent="0.2">
      <c r="A15" s="233">
        <v>4</v>
      </c>
      <c r="B15" s="173" t="s">
        <v>650</v>
      </c>
      <c r="C15" s="1338"/>
      <c r="D15" s="1339"/>
      <c r="E15" s="1339"/>
      <c r="F15" s="1339"/>
      <c r="G15" s="1339"/>
      <c r="H15" s="1339"/>
      <c r="I15" s="1339"/>
      <c r="J15" s="1339"/>
      <c r="K15" s="1339"/>
      <c r="L15" s="1340"/>
    </row>
    <row r="16" spans="1:18" s="227" customFormat="1" ht="18" customHeight="1" x14ac:dyDescent="0.2">
      <c r="A16" s="233">
        <v>5</v>
      </c>
      <c r="B16" s="173" t="s">
        <v>651</v>
      </c>
      <c r="C16" s="1338"/>
      <c r="D16" s="1339"/>
      <c r="E16" s="1339"/>
      <c r="F16" s="1339"/>
      <c r="G16" s="1339"/>
      <c r="H16" s="1339"/>
      <c r="I16" s="1339"/>
      <c r="J16" s="1339"/>
      <c r="K16" s="1339"/>
      <c r="L16" s="1340"/>
    </row>
    <row r="17" spans="1:12" s="227" customFormat="1" ht="18" customHeight="1" x14ac:dyDescent="0.2">
      <c r="A17" s="233">
        <v>6</v>
      </c>
      <c r="B17" s="173" t="s">
        <v>652</v>
      </c>
      <c r="C17" s="1338"/>
      <c r="D17" s="1339"/>
      <c r="E17" s="1339"/>
      <c r="F17" s="1339"/>
      <c r="G17" s="1339"/>
      <c r="H17" s="1339"/>
      <c r="I17" s="1339"/>
      <c r="J17" s="1339"/>
      <c r="K17" s="1339"/>
      <c r="L17" s="1340"/>
    </row>
    <row r="18" spans="1:12" s="227" customFormat="1" ht="18" customHeight="1" x14ac:dyDescent="0.2">
      <c r="A18" s="233">
        <v>7</v>
      </c>
      <c r="B18" s="173" t="s">
        <v>653</v>
      </c>
      <c r="C18" s="1338"/>
      <c r="D18" s="1339"/>
      <c r="E18" s="1339"/>
      <c r="F18" s="1339"/>
      <c r="G18" s="1339"/>
      <c r="H18" s="1339"/>
      <c r="I18" s="1339"/>
      <c r="J18" s="1339"/>
      <c r="K18" s="1339"/>
      <c r="L18" s="1340"/>
    </row>
    <row r="19" spans="1:12" s="227" customFormat="1" ht="18" customHeight="1" x14ac:dyDescent="0.2">
      <c r="A19" s="233">
        <v>8</v>
      </c>
      <c r="B19" s="173" t="s">
        <v>654</v>
      </c>
      <c r="C19" s="1338"/>
      <c r="D19" s="1339"/>
      <c r="E19" s="1339"/>
      <c r="F19" s="1339"/>
      <c r="G19" s="1339"/>
      <c r="H19" s="1339"/>
      <c r="I19" s="1339"/>
      <c r="J19" s="1339"/>
      <c r="K19" s="1339"/>
      <c r="L19" s="1340"/>
    </row>
    <row r="20" spans="1:12" s="227" customFormat="1" ht="18" customHeight="1" x14ac:dyDescent="0.2">
      <c r="A20" s="233">
        <v>9</v>
      </c>
      <c r="B20" s="173" t="s">
        <v>655</v>
      </c>
      <c r="C20" s="1338"/>
      <c r="D20" s="1339"/>
      <c r="E20" s="1339"/>
      <c r="F20" s="1339"/>
      <c r="G20" s="1339"/>
      <c r="H20" s="1339"/>
      <c r="I20" s="1339"/>
      <c r="J20" s="1339"/>
      <c r="K20" s="1339"/>
      <c r="L20" s="1340"/>
    </row>
    <row r="21" spans="1:12" s="227" customFormat="1" ht="18" customHeight="1" x14ac:dyDescent="0.2">
      <c r="A21" s="233">
        <v>10</v>
      </c>
      <c r="B21" s="173" t="s">
        <v>656</v>
      </c>
      <c r="C21" s="1338"/>
      <c r="D21" s="1339"/>
      <c r="E21" s="1339"/>
      <c r="F21" s="1339"/>
      <c r="G21" s="1339"/>
      <c r="H21" s="1339"/>
      <c r="I21" s="1339"/>
      <c r="J21" s="1339"/>
      <c r="K21" s="1339"/>
      <c r="L21" s="1340"/>
    </row>
    <row r="22" spans="1:12" s="227" customFormat="1" ht="18" customHeight="1" x14ac:dyDescent="0.2">
      <c r="A22" s="233">
        <v>11</v>
      </c>
      <c r="B22" s="173" t="s">
        <v>657</v>
      </c>
      <c r="C22" s="1338"/>
      <c r="D22" s="1339"/>
      <c r="E22" s="1339"/>
      <c r="F22" s="1339"/>
      <c r="G22" s="1339"/>
      <c r="H22" s="1339"/>
      <c r="I22" s="1339"/>
      <c r="J22" s="1339"/>
      <c r="K22" s="1339"/>
      <c r="L22" s="1340"/>
    </row>
    <row r="23" spans="1:12" s="227" customFormat="1" ht="18" customHeight="1" x14ac:dyDescent="0.2">
      <c r="A23" s="233">
        <v>12</v>
      </c>
      <c r="B23" s="173" t="s">
        <v>658</v>
      </c>
      <c r="C23" s="1338"/>
      <c r="D23" s="1339"/>
      <c r="E23" s="1339"/>
      <c r="F23" s="1339"/>
      <c r="G23" s="1339"/>
      <c r="H23" s="1339"/>
      <c r="I23" s="1339"/>
      <c r="J23" s="1339"/>
      <c r="K23" s="1339"/>
      <c r="L23" s="1340"/>
    </row>
    <row r="24" spans="1:12" s="227" customFormat="1" ht="18" customHeight="1" x14ac:dyDescent="0.2">
      <c r="A24" s="233">
        <v>13</v>
      </c>
      <c r="B24" s="173" t="s">
        <v>659</v>
      </c>
      <c r="C24" s="1341"/>
      <c r="D24" s="1342"/>
      <c r="E24" s="1342"/>
      <c r="F24" s="1342"/>
      <c r="G24" s="1342"/>
      <c r="H24" s="1342"/>
      <c r="I24" s="1342"/>
      <c r="J24" s="1342"/>
      <c r="K24" s="1342"/>
      <c r="L24" s="1343"/>
    </row>
    <row r="25" spans="1:12" s="228" customFormat="1" ht="21" customHeight="1" x14ac:dyDescent="0.2">
      <c r="A25" s="1330" t="s">
        <v>660</v>
      </c>
      <c r="B25" s="13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</row>
    <row r="26" spans="1:12" s="227" customFormat="1" ht="15.75" customHeight="1" x14ac:dyDescent="0.2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</row>
    <row r="27" spans="1:12" s="227" customFormat="1" ht="60" customHeight="1" x14ac:dyDescent="0.2">
      <c r="A27" s="1332" t="s">
        <v>676</v>
      </c>
      <c r="B27" s="1332"/>
      <c r="C27" s="234"/>
      <c r="D27" s="235"/>
      <c r="E27" s="235"/>
      <c r="I27" s="236"/>
      <c r="J27" s="1333" t="s">
        <v>646</v>
      </c>
      <c r="K27" s="1333"/>
      <c r="L27" s="1333"/>
    </row>
  </sheetData>
  <mergeCells count="15">
    <mergeCell ref="A25:B25"/>
    <mergeCell ref="A27:B27"/>
    <mergeCell ref="J27:L27"/>
    <mergeCell ref="I8:L8"/>
    <mergeCell ref="A9:A10"/>
    <mergeCell ref="B9:B10"/>
    <mergeCell ref="C9:G9"/>
    <mergeCell ref="H9:L9"/>
    <mergeCell ref="C12:L24"/>
    <mergeCell ref="L1:N1"/>
    <mergeCell ref="A2:L2"/>
    <mergeCell ref="A3:L3"/>
    <mergeCell ref="A5:L5"/>
    <mergeCell ref="A7:C7"/>
    <mergeCell ref="F7:L7"/>
  </mergeCells>
  <printOptions horizontalCentered="1"/>
  <pageMargins left="0.70866141732283472" right="0.19685039370078741" top="0.39370078740157483" bottom="0.23622047244094491" header="0.19685039370078741" footer="0.19685039370078741"/>
  <pageSetup paperSize="9" orientation="landscape" r:id="rId1"/>
  <headerFooter>
    <oddFooter>&amp;CSheet-74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0.59999389629810485"/>
    <pageSetUpPr fitToPage="1"/>
  </sheetPr>
  <dimension ref="A1:Q30"/>
  <sheetViews>
    <sheetView view="pageBreakPreview" topLeftCell="A11" zoomScale="85" zoomScaleSheetLayoutView="85" workbookViewId="0">
      <selection activeCell="S11" sqref="S1:U1048576"/>
    </sheetView>
  </sheetViews>
  <sheetFormatPr defaultColWidth="9.140625" defaultRowHeight="12.75" x14ac:dyDescent="0.2"/>
  <cols>
    <col min="1" max="1" width="7.42578125" style="184" customWidth="1"/>
    <col min="2" max="2" width="17.140625" style="184" customWidth="1"/>
    <col min="3" max="3" width="10.7109375" style="184" customWidth="1"/>
    <col min="4" max="4" width="10.140625" style="184" customWidth="1"/>
    <col min="5" max="5" width="9.28515625" style="756" customWidth="1"/>
    <col min="6" max="6" width="9.28515625" style="184" customWidth="1"/>
    <col min="7" max="7" width="7.28515625" style="184" customWidth="1"/>
    <col min="8" max="8" width="9.140625" style="184" customWidth="1"/>
    <col min="9" max="9" width="9.28515625" style="184" customWidth="1"/>
    <col min="10" max="10" width="10.7109375" style="184" customWidth="1"/>
    <col min="11" max="11" width="9.42578125" style="184" customWidth="1"/>
    <col min="12" max="12" width="8.7109375" style="939" customWidth="1"/>
    <col min="13" max="13" width="9.85546875" style="939" customWidth="1"/>
    <col min="14" max="14" width="9.28515625" style="939" customWidth="1"/>
    <col min="15" max="15" width="11.140625" style="184" customWidth="1"/>
    <col min="16" max="16" width="11.85546875" style="184" customWidth="1"/>
    <col min="17" max="17" width="11.7109375" style="184" customWidth="1"/>
    <col min="18" max="18" width="13" style="184" customWidth="1"/>
    <col min="19" max="16384" width="9.140625" style="184"/>
  </cols>
  <sheetData>
    <row r="1" spans="1:17" s="183" customFormat="1" ht="15" x14ac:dyDescent="0.2">
      <c r="E1" s="412"/>
      <c r="H1" s="222"/>
      <c r="I1" s="222"/>
      <c r="J1" s="222"/>
      <c r="K1" s="222"/>
      <c r="L1" s="976"/>
      <c r="M1" s="976"/>
      <c r="N1" s="976"/>
      <c r="O1" s="222"/>
      <c r="P1" s="1344" t="s">
        <v>56</v>
      </c>
      <c r="Q1" s="1344"/>
    </row>
    <row r="2" spans="1:17" s="183" customFormat="1" ht="15" x14ac:dyDescent="0.2">
      <c r="A2" s="1325" t="s">
        <v>0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</row>
    <row r="3" spans="1:17" s="183" customFormat="1" ht="20.25" x14ac:dyDescent="0.3">
      <c r="A3" s="1345" t="s">
        <v>793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1345"/>
    </row>
    <row r="4" spans="1:17" s="183" customFormat="1" ht="10.5" customHeight="1" x14ac:dyDescent="0.2">
      <c r="E4" s="412"/>
      <c r="L4" s="412"/>
      <c r="M4" s="412"/>
      <c r="N4" s="412"/>
    </row>
    <row r="5" spans="1:17" x14ac:dyDescent="0.2">
      <c r="A5" s="237"/>
      <c r="B5" s="237"/>
      <c r="C5" s="237"/>
      <c r="D5" s="237"/>
      <c r="E5" s="759"/>
      <c r="F5" s="238"/>
      <c r="G5" s="238"/>
      <c r="H5" s="238"/>
      <c r="I5" s="238"/>
      <c r="J5" s="238"/>
      <c r="K5" s="238"/>
      <c r="L5" s="759"/>
      <c r="M5" s="759"/>
      <c r="N5" s="977"/>
      <c r="O5" s="237"/>
      <c r="P5" s="238"/>
      <c r="Q5" s="239"/>
    </row>
    <row r="6" spans="1:17" ht="18" customHeight="1" x14ac:dyDescent="0.25">
      <c r="A6" s="1327" t="s">
        <v>825</v>
      </c>
      <c r="B6" s="1327"/>
      <c r="C6" s="1327"/>
      <c r="D6" s="1327"/>
      <c r="E6" s="1327"/>
      <c r="F6" s="1327"/>
      <c r="G6" s="1327"/>
      <c r="H6" s="1327"/>
      <c r="I6" s="1327"/>
      <c r="J6" s="1327"/>
      <c r="K6" s="1327"/>
      <c r="L6" s="1327"/>
      <c r="M6" s="1327"/>
      <c r="N6" s="1327"/>
      <c r="O6" s="1327"/>
      <c r="P6" s="1327"/>
      <c r="Q6" s="1327"/>
    </row>
    <row r="7" spans="1:17" ht="9.75" customHeight="1" x14ac:dyDescent="0.2"/>
    <row r="8" spans="1:17" ht="0.75" customHeight="1" x14ac:dyDescent="0.2"/>
    <row r="9" spans="1:17" ht="15" x14ac:dyDescent="0.2">
      <c r="A9" s="1328"/>
      <c r="B9" s="1328"/>
      <c r="C9" s="1328"/>
      <c r="Q9" s="240" t="s">
        <v>16</v>
      </c>
    </row>
    <row r="10" spans="1:17" ht="15" x14ac:dyDescent="0.2">
      <c r="A10" s="241" t="s">
        <v>679</v>
      </c>
      <c r="N10" s="1235" t="s">
        <v>947</v>
      </c>
      <c r="O10" s="1235"/>
      <c r="P10" s="1235"/>
      <c r="Q10" s="1235"/>
    </row>
    <row r="11" spans="1:17" ht="28.5" customHeight="1" x14ac:dyDescent="0.2">
      <c r="A11" s="1355" t="s">
        <v>2</v>
      </c>
      <c r="B11" s="1355" t="s">
        <v>3</v>
      </c>
      <c r="C11" s="1199" t="s">
        <v>826</v>
      </c>
      <c r="D11" s="1199"/>
      <c r="E11" s="1199"/>
      <c r="F11" s="1199" t="s">
        <v>827</v>
      </c>
      <c r="G11" s="1199"/>
      <c r="H11" s="1199"/>
      <c r="I11" s="1356" t="s">
        <v>355</v>
      </c>
      <c r="J11" s="1357"/>
      <c r="K11" s="1358"/>
      <c r="L11" s="1359" t="s">
        <v>83</v>
      </c>
      <c r="M11" s="1360"/>
      <c r="N11" s="1361"/>
      <c r="O11" s="1346" t="s">
        <v>828</v>
      </c>
      <c r="P11" s="1347"/>
      <c r="Q11" s="1348"/>
    </row>
    <row r="12" spans="1:17" ht="39.75" customHeight="1" x14ac:dyDescent="0.2">
      <c r="A12" s="1355"/>
      <c r="B12" s="1355"/>
      <c r="C12" s="242" t="s">
        <v>104</v>
      </c>
      <c r="D12" s="242" t="s">
        <v>351</v>
      </c>
      <c r="E12" s="760" t="s">
        <v>13</v>
      </c>
      <c r="F12" s="242" t="s">
        <v>104</v>
      </c>
      <c r="G12" s="242" t="s">
        <v>352</v>
      </c>
      <c r="H12" s="243" t="s">
        <v>13</v>
      </c>
      <c r="I12" s="242" t="s">
        <v>104</v>
      </c>
      <c r="J12" s="242" t="s">
        <v>352</v>
      </c>
      <c r="K12" s="243" t="s">
        <v>13</v>
      </c>
      <c r="L12" s="945" t="s">
        <v>104</v>
      </c>
      <c r="M12" s="945" t="s">
        <v>352</v>
      </c>
      <c r="N12" s="1056" t="s">
        <v>13</v>
      </c>
      <c r="O12" s="242" t="s">
        <v>214</v>
      </c>
      <c r="P12" s="242" t="s">
        <v>353</v>
      </c>
      <c r="Q12" s="242" t="s">
        <v>105</v>
      </c>
    </row>
    <row r="13" spans="1:17" s="245" customFormat="1" x14ac:dyDescent="0.2">
      <c r="A13" s="244">
        <v>1</v>
      </c>
      <c r="B13" s="244">
        <v>2</v>
      </c>
      <c r="C13" s="244">
        <v>3</v>
      </c>
      <c r="D13" s="244">
        <v>4</v>
      </c>
      <c r="E13" s="761">
        <v>5</v>
      </c>
      <c r="F13" s="244">
        <v>6</v>
      </c>
      <c r="G13" s="244">
        <v>7</v>
      </c>
      <c r="H13" s="244">
        <v>8</v>
      </c>
      <c r="I13" s="244">
        <v>9</v>
      </c>
      <c r="J13" s="244">
        <v>10</v>
      </c>
      <c r="K13" s="244">
        <v>11</v>
      </c>
      <c r="L13" s="761">
        <v>12</v>
      </c>
      <c r="M13" s="761">
        <v>13</v>
      </c>
      <c r="N13" s="761">
        <v>14</v>
      </c>
      <c r="O13" s="244">
        <v>15</v>
      </c>
      <c r="P13" s="244">
        <v>16</v>
      </c>
      <c r="Q13" s="244">
        <v>17</v>
      </c>
    </row>
    <row r="14" spans="1:17" ht="24.75" customHeight="1" x14ac:dyDescent="0.2">
      <c r="A14" s="233">
        <v>1</v>
      </c>
      <c r="B14" s="173" t="s">
        <v>647</v>
      </c>
      <c r="C14" s="246">
        <v>584.97595200000001</v>
      </c>
      <c r="D14" s="246">
        <v>625.07511</v>
      </c>
      <c r="E14" s="762">
        <f>C14+D14</f>
        <v>1210.051062</v>
      </c>
      <c r="F14" s="246">
        <v>14.3824211260771</v>
      </c>
      <c r="G14" s="246">
        <v>0</v>
      </c>
      <c r="H14" s="246">
        <f>F14+G14</f>
        <v>14.3824211260771</v>
      </c>
      <c r="I14" s="246">
        <v>638.03665955906411</v>
      </c>
      <c r="J14" s="246">
        <f>1020.43-0.06</f>
        <v>1020.37</v>
      </c>
      <c r="K14" s="246">
        <f>I14+J14</f>
        <v>1658.4066595590641</v>
      </c>
      <c r="L14" s="762">
        <v>568.13328000000001</v>
      </c>
      <c r="M14" s="762">
        <v>607.0779</v>
      </c>
      <c r="N14" s="762">
        <f>L14+M14</f>
        <v>1175.21118</v>
      </c>
      <c r="O14" s="246">
        <f>F14+I14-L14</f>
        <v>84.285800685141226</v>
      </c>
      <c r="P14" s="246">
        <f t="shared" ref="P14:Q14" si="0">G14+J14-M14</f>
        <v>413.2921</v>
      </c>
      <c r="Q14" s="246">
        <f t="shared" si="0"/>
        <v>497.57790068514123</v>
      </c>
    </row>
    <row r="15" spans="1:17" ht="24.75" customHeight="1" x14ac:dyDescent="0.2">
      <c r="A15" s="233">
        <v>2</v>
      </c>
      <c r="B15" s="173" t="s">
        <v>648</v>
      </c>
      <c r="C15" s="246">
        <v>508.41735999999997</v>
      </c>
      <c r="D15" s="246">
        <v>543.26855</v>
      </c>
      <c r="E15" s="762">
        <f t="shared" ref="E15:E26" si="1">C15+D15</f>
        <v>1051.6859099999999</v>
      </c>
      <c r="F15" s="246">
        <v>12.500125038560547</v>
      </c>
      <c r="G15" s="246">
        <v>0</v>
      </c>
      <c r="H15" s="246">
        <f t="shared" ref="H15:H26" si="2">F15+G15</f>
        <v>12.500125038560547</v>
      </c>
      <c r="I15" s="246">
        <v>554.53375713030391</v>
      </c>
      <c r="J15" s="246">
        <v>886.8791292262656</v>
      </c>
      <c r="K15" s="246">
        <f t="shared" ref="K15:K26" si="3">I15+J15</f>
        <v>1441.4128863565695</v>
      </c>
      <c r="L15" s="762">
        <v>471.89489600000002</v>
      </c>
      <c r="M15" s="762">
        <v>504.24252999999999</v>
      </c>
      <c r="N15" s="762">
        <f t="shared" ref="N15:N26" si="4">L15+M15</f>
        <v>976.137426</v>
      </c>
      <c r="O15" s="246">
        <f t="shared" ref="O15:O26" si="5">F15+I15-L15</f>
        <v>95.138986168864449</v>
      </c>
      <c r="P15" s="246">
        <f t="shared" ref="P15:P26" si="6">G15+J15-M15</f>
        <v>382.63659922626562</v>
      </c>
      <c r="Q15" s="246">
        <f t="shared" ref="Q15:Q26" si="7">H15+K15-N15</f>
        <v>477.77558539513007</v>
      </c>
    </row>
    <row r="16" spans="1:17" ht="24.75" customHeight="1" x14ac:dyDescent="0.2">
      <c r="A16" s="233">
        <v>3</v>
      </c>
      <c r="B16" s="173" t="s">
        <v>649</v>
      </c>
      <c r="C16" s="246">
        <v>696.714832</v>
      </c>
      <c r="D16" s="246">
        <v>744.47351000000003</v>
      </c>
      <c r="E16" s="762">
        <f t="shared" si="1"/>
        <v>1441.1883419999999</v>
      </c>
      <c r="F16" s="246">
        <v>17.129671885397531</v>
      </c>
      <c r="G16" s="246">
        <v>0</v>
      </c>
      <c r="H16" s="246">
        <f t="shared" si="2"/>
        <v>17.129671885397531</v>
      </c>
      <c r="I16" s="246">
        <v>759.91090326826725</v>
      </c>
      <c r="J16" s="246">
        <v>1215.3437216658783</v>
      </c>
      <c r="K16" s="246">
        <f t="shared" si="3"/>
        <v>1975.2546249341456</v>
      </c>
      <c r="L16" s="762">
        <v>673.0030559999999</v>
      </c>
      <c r="M16" s="762">
        <v>719.13633000000004</v>
      </c>
      <c r="N16" s="762">
        <f t="shared" si="4"/>
        <v>1392.1393859999998</v>
      </c>
      <c r="O16" s="246">
        <f t="shared" si="5"/>
        <v>104.0375191536649</v>
      </c>
      <c r="P16" s="246">
        <f t="shared" si="6"/>
        <v>496.20739166587828</v>
      </c>
      <c r="Q16" s="246">
        <f t="shared" si="7"/>
        <v>600.24491081954329</v>
      </c>
    </row>
    <row r="17" spans="1:17" ht="24.75" customHeight="1" x14ac:dyDescent="0.2">
      <c r="A17" s="233">
        <v>4</v>
      </c>
      <c r="B17" s="173" t="s">
        <v>650</v>
      </c>
      <c r="C17" s="246">
        <v>782.40131200000008</v>
      </c>
      <c r="D17" s="246">
        <v>836.03366000000005</v>
      </c>
      <c r="E17" s="762">
        <f t="shared" si="1"/>
        <v>1618.434972</v>
      </c>
      <c r="F17" s="246">
        <v>19.2363893255893</v>
      </c>
      <c r="G17" s="246">
        <v>0</v>
      </c>
      <c r="H17" s="246">
        <f t="shared" si="2"/>
        <v>19.2363893255893</v>
      </c>
      <c r="I17" s="246">
        <v>853.36964337827874</v>
      </c>
      <c r="J17" s="246">
        <v>1364.8145248073981</v>
      </c>
      <c r="K17" s="246">
        <f t="shared" si="3"/>
        <v>2218.1841681856768</v>
      </c>
      <c r="L17" s="762">
        <v>767.21180800000002</v>
      </c>
      <c r="M17" s="762">
        <v>819.80294000000004</v>
      </c>
      <c r="N17" s="762">
        <f t="shared" si="4"/>
        <v>1587.0147480000001</v>
      </c>
      <c r="O17" s="246">
        <f t="shared" si="5"/>
        <v>105.39422470386808</v>
      </c>
      <c r="P17" s="246">
        <f t="shared" si="6"/>
        <v>545.01158480739809</v>
      </c>
      <c r="Q17" s="246">
        <f t="shared" si="7"/>
        <v>650.40580951126594</v>
      </c>
    </row>
    <row r="18" spans="1:17" ht="24.75" customHeight="1" x14ac:dyDescent="0.2">
      <c r="A18" s="233">
        <v>5</v>
      </c>
      <c r="B18" s="173" t="s">
        <v>651</v>
      </c>
      <c r="C18" s="246">
        <v>685.53003200000001</v>
      </c>
      <c r="D18" s="246">
        <v>732.52201000000002</v>
      </c>
      <c r="E18" s="762">
        <f t="shared" si="1"/>
        <v>1418.052042</v>
      </c>
      <c r="F18" s="246">
        <v>16.854678523258531</v>
      </c>
      <c r="G18" s="246">
        <v>0</v>
      </c>
      <c r="H18" s="246">
        <f t="shared" si="2"/>
        <v>16.854678523258531</v>
      </c>
      <c r="I18" s="246">
        <v>747.71157711573505</v>
      </c>
      <c r="J18" s="246">
        <v>1195.8330469482657</v>
      </c>
      <c r="K18" s="246">
        <f t="shared" si="3"/>
        <v>1943.5446240640008</v>
      </c>
      <c r="L18" s="762">
        <v>650.769856</v>
      </c>
      <c r="M18" s="762">
        <v>695.37908000000004</v>
      </c>
      <c r="N18" s="762">
        <f t="shared" si="4"/>
        <v>1346.148936</v>
      </c>
      <c r="O18" s="246">
        <f t="shared" si="5"/>
        <v>113.79639963899353</v>
      </c>
      <c r="P18" s="246">
        <f t="shared" si="6"/>
        <v>500.4539669482657</v>
      </c>
      <c r="Q18" s="246">
        <f t="shared" si="7"/>
        <v>614.25036658725935</v>
      </c>
    </row>
    <row r="19" spans="1:17" ht="24.75" customHeight="1" x14ac:dyDescent="0.2">
      <c r="A19" s="233">
        <v>6</v>
      </c>
      <c r="B19" s="173" t="s">
        <v>652</v>
      </c>
      <c r="C19" s="246">
        <v>750.17272000000003</v>
      </c>
      <c r="D19" s="246">
        <v>801.59585000000004</v>
      </c>
      <c r="E19" s="762">
        <f t="shared" si="1"/>
        <v>1551.7685700000002</v>
      </c>
      <c r="F19" s="246">
        <v>18.444006013318511</v>
      </c>
      <c r="G19" s="246">
        <v>0</v>
      </c>
      <c r="H19" s="246">
        <f t="shared" si="2"/>
        <v>18.444006013318511</v>
      </c>
      <c r="I19" s="246">
        <v>818.21773138656681</v>
      </c>
      <c r="J19" s="246">
        <v>1308.5952294137683</v>
      </c>
      <c r="K19" s="246">
        <f t="shared" si="3"/>
        <v>2126.8129608003351</v>
      </c>
      <c r="L19" s="762">
        <v>690.45680000000004</v>
      </c>
      <c r="M19" s="762">
        <v>737.78650000000005</v>
      </c>
      <c r="N19" s="762">
        <f t="shared" si="4"/>
        <v>1428.2433000000001</v>
      </c>
      <c r="O19" s="246">
        <f t="shared" si="5"/>
        <v>146.20493739988524</v>
      </c>
      <c r="P19" s="246">
        <f t="shared" si="6"/>
        <v>570.80872941376822</v>
      </c>
      <c r="Q19" s="246">
        <f t="shared" si="7"/>
        <v>717.01366681365334</v>
      </c>
    </row>
    <row r="20" spans="1:17" ht="24.75" customHeight="1" x14ac:dyDescent="0.2">
      <c r="A20" s="233">
        <v>7</v>
      </c>
      <c r="B20" s="173" t="s">
        <v>653</v>
      </c>
      <c r="C20" s="246">
        <v>619.25599999999997</v>
      </c>
      <c r="D20" s="246">
        <v>661.70500000000004</v>
      </c>
      <c r="E20" s="762">
        <f t="shared" si="1"/>
        <v>1280.961</v>
      </c>
      <c r="F20" s="246">
        <v>15.22524224525729</v>
      </c>
      <c r="G20" s="246">
        <v>0</v>
      </c>
      <c r="H20" s="246">
        <f t="shared" si="2"/>
        <v>15.22524224525729</v>
      </c>
      <c r="I20" s="246">
        <v>675.42610649387495</v>
      </c>
      <c r="J20" s="246">
        <v>1080.225161194681</v>
      </c>
      <c r="K20" s="246">
        <f t="shared" si="3"/>
        <v>1755.6512676885559</v>
      </c>
      <c r="L20" s="762">
        <v>791.65468799999996</v>
      </c>
      <c r="M20" s="762">
        <v>845.92133999999999</v>
      </c>
      <c r="N20" s="762">
        <f t="shared" si="4"/>
        <v>1637.576028</v>
      </c>
      <c r="O20" s="246">
        <f t="shared" si="5"/>
        <v>-101.00333926086773</v>
      </c>
      <c r="P20" s="246">
        <f t="shared" si="6"/>
        <v>234.30382119468106</v>
      </c>
      <c r="Q20" s="246">
        <f t="shared" si="7"/>
        <v>133.30048193381322</v>
      </c>
    </row>
    <row r="21" spans="1:17" ht="24.75" customHeight="1" x14ac:dyDescent="0.2">
      <c r="A21" s="233">
        <v>8</v>
      </c>
      <c r="B21" s="173" t="s">
        <v>654</v>
      </c>
      <c r="C21" s="246">
        <v>710.71492799999999</v>
      </c>
      <c r="D21" s="246">
        <v>759.43329000000006</v>
      </c>
      <c r="E21" s="762">
        <f t="shared" si="1"/>
        <v>1470.148218</v>
      </c>
      <c r="F21" s="246">
        <v>17.47388308893348</v>
      </c>
      <c r="G21" s="246">
        <v>0</v>
      </c>
      <c r="H21" s="246">
        <f t="shared" si="2"/>
        <v>17.47388308893348</v>
      </c>
      <c r="I21" s="246">
        <v>775.18088907675428</v>
      </c>
      <c r="J21" s="246">
        <v>1239.7653759709494</v>
      </c>
      <c r="K21" s="246">
        <f t="shared" si="3"/>
        <v>2014.9462650477037</v>
      </c>
      <c r="L21" s="762">
        <v>659.12299200000007</v>
      </c>
      <c r="M21" s="762">
        <v>704.30480999999997</v>
      </c>
      <c r="N21" s="762">
        <f t="shared" si="4"/>
        <v>1363.4278020000002</v>
      </c>
      <c r="O21" s="246">
        <f t="shared" si="5"/>
        <v>133.53178016568768</v>
      </c>
      <c r="P21" s="246">
        <f t="shared" si="6"/>
        <v>535.46056597094946</v>
      </c>
      <c r="Q21" s="246">
        <f t="shared" si="7"/>
        <v>668.99234613663702</v>
      </c>
    </row>
    <row r="22" spans="1:17" ht="24.75" customHeight="1" x14ac:dyDescent="0.2">
      <c r="A22" s="233">
        <v>9</v>
      </c>
      <c r="B22" s="173" t="s">
        <v>655</v>
      </c>
      <c r="C22" s="246">
        <v>686.62668799999994</v>
      </c>
      <c r="D22" s="246">
        <v>733.69384000000002</v>
      </c>
      <c r="E22" s="762">
        <f t="shared" si="1"/>
        <v>1420.320528</v>
      </c>
      <c r="F22" s="246">
        <v>16.881641287058496</v>
      </c>
      <c r="G22" s="246">
        <v>0</v>
      </c>
      <c r="H22" s="246">
        <f t="shared" si="2"/>
        <v>16.881641287058496</v>
      </c>
      <c r="I22" s="246">
        <v>748.90770616776354</v>
      </c>
      <c r="J22" s="246">
        <v>1197.7460448108213</v>
      </c>
      <c r="K22" s="246">
        <f t="shared" si="3"/>
        <v>1946.6537509785849</v>
      </c>
      <c r="L22" s="762">
        <v>649.41676799999993</v>
      </c>
      <c r="M22" s="762">
        <v>693.93323999999996</v>
      </c>
      <c r="N22" s="762">
        <f t="shared" si="4"/>
        <v>1343.3500079999999</v>
      </c>
      <c r="O22" s="246">
        <f t="shared" si="5"/>
        <v>116.37257945482213</v>
      </c>
      <c r="P22" s="246">
        <f t="shared" si="6"/>
        <v>503.81280481082138</v>
      </c>
      <c r="Q22" s="246">
        <f t="shared" si="7"/>
        <v>620.18538426564351</v>
      </c>
    </row>
    <row r="23" spans="1:17" ht="24.75" customHeight="1" x14ac:dyDescent="0.2">
      <c r="A23" s="233">
        <v>10</v>
      </c>
      <c r="B23" s="173" t="s">
        <v>656</v>
      </c>
      <c r="C23" s="246">
        <v>808.26275199999998</v>
      </c>
      <c r="D23" s="246">
        <v>863.66786000000002</v>
      </c>
      <c r="E23" s="762">
        <f t="shared" si="1"/>
        <v>1671.9306120000001</v>
      </c>
      <c r="F23" s="246">
        <v>19.872227636096081</v>
      </c>
      <c r="G23" s="246">
        <v>0</v>
      </c>
      <c r="H23" s="246">
        <f t="shared" si="2"/>
        <v>19.872227636096081</v>
      </c>
      <c r="I23" s="246">
        <v>881.57686579925644</v>
      </c>
      <c r="J23" s="246">
        <v>1409.9270117154401</v>
      </c>
      <c r="K23" s="246">
        <f t="shared" si="3"/>
        <v>2291.5038775146968</v>
      </c>
      <c r="L23" s="762">
        <v>766.58982400000002</v>
      </c>
      <c r="M23" s="762">
        <v>819.13832000000002</v>
      </c>
      <c r="N23" s="762">
        <f t="shared" si="4"/>
        <v>1585.7281440000002</v>
      </c>
      <c r="O23" s="246">
        <f t="shared" si="5"/>
        <v>134.85926943535253</v>
      </c>
      <c r="P23" s="246">
        <f t="shared" si="6"/>
        <v>590.78869171544011</v>
      </c>
      <c r="Q23" s="246">
        <f t="shared" si="7"/>
        <v>725.64796115079253</v>
      </c>
    </row>
    <row r="24" spans="1:17" ht="24.75" customHeight="1" x14ac:dyDescent="0.2">
      <c r="A24" s="233">
        <v>11</v>
      </c>
      <c r="B24" s="173" t="s">
        <v>657</v>
      </c>
      <c r="C24" s="246">
        <v>652.07384000000002</v>
      </c>
      <c r="D24" s="246">
        <v>696.77245000000005</v>
      </c>
      <c r="E24" s="762">
        <f t="shared" si="1"/>
        <v>1348.84629</v>
      </c>
      <c r="F24" s="246">
        <v>16.032113012704183</v>
      </c>
      <c r="G24" s="246">
        <v>0</v>
      </c>
      <c r="H24" s="246">
        <f t="shared" si="2"/>
        <v>16.032113012704183</v>
      </c>
      <c r="I24" s="246">
        <v>711.22071469264722</v>
      </c>
      <c r="J24" s="246">
        <v>1137.4723360368487</v>
      </c>
      <c r="K24" s="246">
        <f t="shared" si="3"/>
        <v>1848.693050729496</v>
      </c>
      <c r="L24" s="762">
        <v>637.35355200000004</v>
      </c>
      <c r="M24" s="762">
        <v>681.04310999999996</v>
      </c>
      <c r="N24" s="762">
        <f t="shared" si="4"/>
        <v>1318.3966620000001</v>
      </c>
      <c r="O24" s="246">
        <f t="shared" si="5"/>
        <v>89.899275705351329</v>
      </c>
      <c r="P24" s="246">
        <f t="shared" si="6"/>
        <v>456.42922603684872</v>
      </c>
      <c r="Q24" s="246">
        <f t="shared" si="7"/>
        <v>546.32850174220016</v>
      </c>
    </row>
    <row r="25" spans="1:17" ht="24.75" customHeight="1" x14ac:dyDescent="0.2">
      <c r="A25" s="233">
        <v>12</v>
      </c>
      <c r="B25" s="173" t="s">
        <v>658</v>
      </c>
      <c r="C25" s="246">
        <v>899.27428799999996</v>
      </c>
      <c r="D25" s="246">
        <v>960.91809000000001</v>
      </c>
      <c r="E25" s="762">
        <f t="shared" si="1"/>
        <v>1860.192378</v>
      </c>
      <c r="F25" s="246">
        <v>22.109868745286715</v>
      </c>
      <c r="G25" s="246">
        <v>0</v>
      </c>
      <c r="H25" s="246">
        <f t="shared" si="2"/>
        <v>22.109868745286715</v>
      </c>
      <c r="I25" s="246">
        <v>980.84367533603461</v>
      </c>
      <c r="J25" s="246">
        <v>1568.6867995030036</v>
      </c>
      <c r="K25" s="246">
        <f t="shared" si="3"/>
        <v>2549.5304748390381</v>
      </c>
      <c r="L25" s="762">
        <v>601.294848</v>
      </c>
      <c r="M25" s="762">
        <v>642.51264000000003</v>
      </c>
      <c r="N25" s="762">
        <f t="shared" si="4"/>
        <v>1243.8074879999999</v>
      </c>
      <c r="O25" s="246">
        <f t="shared" si="5"/>
        <v>401.6586960813213</v>
      </c>
      <c r="P25" s="246">
        <f t="shared" si="6"/>
        <v>926.17415950300358</v>
      </c>
      <c r="Q25" s="246">
        <f t="shared" si="7"/>
        <v>1327.832855584325</v>
      </c>
    </row>
    <row r="26" spans="1:17" ht="24.75" customHeight="1" x14ac:dyDescent="0.2">
      <c r="A26" s="233">
        <v>13</v>
      </c>
      <c r="B26" s="173" t="s">
        <v>659</v>
      </c>
      <c r="C26" s="246">
        <v>1109.0192959999999</v>
      </c>
      <c r="D26" s="246">
        <v>1185.04078</v>
      </c>
      <c r="E26" s="762">
        <f t="shared" si="1"/>
        <v>2294.0600759999998</v>
      </c>
      <c r="F26" s="246">
        <v>27.266732072462275</v>
      </c>
      <c r="G26" s="246">
        <v>0</v>
      </c>
      <c r="H26" s="246">
        <f t="shared" si="2"/>
        <v>27.266732072462275</v>
      </c>
      <c r="I26" s="246">
        <v>1209.6137705954534</v>
      </c>
      <c r="J26" s="246">
        <v>1934.5642961709079</v>
      </c>
      <c r="K26" s="246">
        <f t="shared" si="3"/>
        <v>3144.1780667663616</v>
      </c>
      <c r="L26" s="762">
        <v>1110.492416</v>
      </c>
      <c r="M26" s="762">
        <v>1186.6148800000001</v>
      </c>
      <c r="N26" s="762">
        <f t="shared" si="4"/>
        <v>2297.1072960000001</v>
      </c>
      <c r="O26" s="246">
        <f t="shared" si="5"/>
        <v>126.38808666791556</v>
      </c>
      <c r="P26" s="246">
        <f t="shared" si="6"/>
        <v>747.94941617090785</v>
      </c>
      <c r="Q26" s="246">
        <f t="shared" si="7"/>
        <v>874.33750283882364</v>
      </c>
    </row>
    <row r="27" spans="1:17" s="248" customFormat="1" ht="24.75" customHeight="1" x14ac:dyDescent="0.2">
      <c r="A27" s="1349" t="s">
        <v>660</v>
      </c>
      <c r="B27" s="1350"/>
      <c r="C27" s="247">
        <v>9493.44</v>
      </c>
      <c r="D27" s="247">
        <v>10144.200000000001</v>
      </c>
      <c r="E27" s="247">
        <f t="shared" ref="E27:Q27" si="8">SUM(E14:E26)</f>
        <v>19637.64</v>
      </c>
      <c r="F27" s="247">
        <f t="shared" si="8"/>
        <v>233.40900000000005</v>
      </c>
      <c r="G27" s="247">
        <f t="shared" si="8"/>
        <v>0</v>
      </c>
      <c r="H27" s="247">
        <f t="shared" si="8"/>
        <v>233.40900000000005</v>
      </c>
      <c r="I27" s="247">
        <f t="shared" si="8"/>
        <v>10354.549999999999</v>
      </c>
      <c r="J27" s="247">
        <f t="shared" si="8"/>
        <v>16560.222677464229</v>
      </c>
      <c r="K27" s="247">
        <f t="shared" si="8"/>
        <v>26914.772677464229</v>
      </c>
      <c r="L27" s="247">
        <v>9037.3947840000001</v>
      </c>
      <c r="M27" s="247">
        <v>9656.8936200000007</v>
      </c>
      <c r="N27" s="247">
        <f t="shared" si="8"/>
        <v>18694.288403999999</v>
      </c>
      <c r="O27" s="247">
        <f>SUM(O14:O26)</f>
        <v>1550.5642160000002</v>
      </c>
      <c r="P27" s="247">
        <f t="shared" si="8"/>
        <v>6903.3290574642278</v>
      </c>
      <c r="Q27" s="247">
        <f t="shared" si="8"/>
        <v>8453.8932734642294</v>
      </c>
    </row>
    <row r="28" spans="1:17" s="248" customFormat="1" ht="23.25" customHeight="1" x14ac:dyDescent="0.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1060"/>
      <c r="L28" s="221"/>
      <c r="M28" s="221"/>
      <c r="N28" s="221"/>
      <c r="O28" s="221"/>
      <c r="P28" s="221"/>
      <c r="Q28" s="221"/>
    </row>
    <row r="29" spans="1:17" s="1352" customFormat="1" ht="14.25" customHeight="1" x14ac:dyDescent="0.2">
      <c r="A29" s="1351" t="s">
        <v>350</v>
      </c>
      <c r="B29" s="1351"/>
      <c r="C29" s="1351"/>
      <c r="D29" s="1351"/>
      <c r="E29" s="1351"/>
      <c r="F29" s="1351"/>
      <c r="G29" s="1351"/>
      <c r="H29" s="1351"/>
      <c r="I29" s="1351"/>
      <c r="J29" s="1351"/>
      <c r="K29" s="1351"/>
      <c r="L29" s="1351"/>
      <c r="M29" s="1351"/>
      <c r="N29" s="1351"/>
      <c r="O29" s="1351"/>
      <c r="P29" s="1351"/>
      <c r="Q29" s="1351"/>
    </row>
    <row r="30" spans="1:17" ht="63.75" customHeight="1" x14ac:dyDescent="0.2">
      <c r="A30" s="1353" t="s">
        <v>682</v>
      </c>
      <c r="B30" s="1353"/>
      <c r="C30" s="249"/>
      <c r="D30" s="249"/>
      <c r="E30" s="763"/>
      <c r="F30" s="249"/>
      <c r="G30" s="249"/>
      <c r="H30" s="250"/>
      <c r="I30" s="251"/>
      <c r="J30" s="251"/>
      <c r="N30" s="1354" t="s">
        <v>646</v>
      </c>
      <c r="O30" s="1354"/>
      <c r="P30" s="1354"/>
      <c r="Q30" s="1354"/>
    </row>
  </sheetData>
  <mergeCells count="17">
    <mergeCell ref="O11:Q11"/>
    <mergeCell ref="A27:B27"/>
    <mergeCell ref="A29:XFD29"/>
    <mergeCell ref="A30:B30"/>
    <mergeCell ref="N30:Q30"/>
    <mergeCell ref="A11:A12"/>
    <mergeCell ref="B11:B12"/>
    <mergeCell ref="C11:E11"/>
    <mergeCell ref="F11:H11"/>
    <mergeCell ref="I11:K11"/>
    <mergeCell ref="L11:N11"/>
    <mergeCell ref="N10:Q10"/>
    <mergeCell ref="P1:Q1"/>
    <mergeCell ref="A2:Q2"/>
    <mergeCell ref="A3:Q3"/>
    <mergeCell ref="A6:Q6"/>
    <mergeCell ref="A9:C9"/>
  </mergeCells>
  <printOptions horizontalCentered="1"/>
  <pageMargins left="0.70866141732283505" right="0.2" top="0.5" bottom="0.2" header="0.2" footer="0.2"/>
  <pageSetup paperSize="9" scale="81" orientation="landscape" r:id="rId1"/>
  <headerFooter>
    <oddFooter>&amp;CSheet-75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 tint="0.59999389629810485"/>
  </sheetPr>
  <dimension ref="A1:Q29"/>
  <sheetViews>
    <sheetView view="pageBreakPreview" topLeftCell="A11" zoomScale="85" zoomScaleSheetLayoutView="85" workbookViewId="0">
      <selection activeCell="S11" sqref="S1:U1048576"/>
    </sheetView>
  </sheetViews>
  <sheetFormatPr defaultColWidth="9.140625" defaultRowHeight="12.75" x14ac:dyDescent="0.2"/>
  <cols>
    <col min="1" max="1" width="7.42578125" style="184" customWidth="1"/>
    <col min="2" max="2" width="17.140625" style="184" customWidth="1"/>
    <col min="3" max="4" width="8.7109375" style="184" customWidth="1"/>
    <col min="5" max="5" width="10" style="184" customWidth="1"/>
    <col min="6" max="7" width="7.28515625" style="184" customWidth="1"/>
    <col min="8" max="8" width="8.140625" style="184" customWidth="1"/>
    <col min="9" max="9" width="9.28515625" style="184" customWidth="1"/>
    <col min="10" max="10" width="10" style="184" customWidth="1"/>
    <col min="11" max="11" width="8.42578125" style="184" customWidth="1"/>
    <col min="12" max="12" width="8.7109375" style="184" customWidth="1"/>
    <col min="13" max="13" width="10" style="184" customWidth="1"/>
    <col min="14" max="14" width="8.7109375" style="184" customWidth="1"/>
    <col min="15" max="15" width="11.5703125" style="184" customWidth="1"/>
    <col min="16" max="16" width="11.85546875" style="184" customWidth="1"/>
    <col min="17" max="17" width="9.7109375" style="184" customWidth="1"/>
    <col min="18" max="16384" width="9.140625" style="184"/>
  </cols>
  <sheetData>
    <row r="1" spans="1:17" s="183" customFormat="1" ht="15" x14ac:dyDescent="0.2">
      <c r="H1" s="222"/>
      <c r="I1" s="222"/>
      <c r="J1" s="222"/>
      <c r="K1" s="222"/>
      <c r="L1" s="222"/>
      <c r="M1" s="222"/>
      <c r="N1" s="222"/>
      <c r="O1" s="222"/>
      <c r="P1" s="1344" t="s">
        <v>82</v>
      </c>
      <c r="Q1" s="1344"/>
    </row>
    <row r="2" spans="1:17" s="183" customFormat="1" ht="15" x14ac:dyDescent="0.2">
      <c r="A2" s="1325" t="s">
        <v>0</v>
      </c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</row>
    <row r="3" spans="1:17" s="183" customFormat="1" ht="20.25" x14ac:dyDescent="0.3">
      <c r="A3" s="1345" t="s">
        <v>793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  <c r="Q3" s="1345"/>
    </row>
    <row r="4" spans="1:17" s="183" customFormat="1" ht="10.5" customHeight="1" x14ac:dyDescent="0.2"/>
    <row r="5" spans="1:17" ht="9" customHeight="1" x14ac:dyDescent="0.2">
      <c r="A5" s="237"/>
      <c r="B5" s="237"/>
      <c r="C5" s="237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7"/>
      <c r="O5" s="237"/>
      <c r="P5" s="238"/>
      <c r="Q5" s="239"/>
    </row>
    <row r="6" spans="1:17" ht="18.600000000000001" customHeight="1" x14ac:dyDescent="0.25">
      <c r="B6" s="252"/>
      <c r="C6" s="252"/>
      <c r="D6" s="1362" t="s">
        <v>829</v>
      </c>
      <c r="E6" s="1362"/>
      <c r="F6" s="1362"/>
      <c r="G6" s="1362"/>
      <c r="H6" s="1362"/>
      <c r="I6" s="1362"/>
      <c r="J6" s="1362"/>
      <c r="K6" s="1362"/>
      <c r="L6" s="1362"/>
      <c r="M6" s="1362"/>
      <c r="N6" s="1362"/>
      <c r="O6" s="1362"/>
    </row>
    <row r="7" spans="1:17" ht="5.45" customHeight="1" x14ac:dyDescent="0.2"/>
    <row r="8" spans="1:17" ht="15" x14ac:dyDescent="0.2">
      <c r="A8" s="1328"/>
      <c r="B8" s="1328"/>
      <c r="C8" s="1328"/>
      <c r="Q8" s="240" t="s">
        <v>16</v>
      </c>
    </row>
    <row r="9" spans="1:17" ht="15" x14ac:dyDescent="0.2">
      <c r="A9" s="241" t="s">
        <v>679</v>
      </c>
      <c r="N9" s="1235" t="s">
        <v>947</v>
      </c>
      <c r="O9" s="1235"/>
      <c r="P9" s="1235"/>
      <c r="Q9" s="1235"/>
    </row>
    <row r="10" spans="1:17" ht="37.15" customHeight="1" x14ac:dyDescent="0.2">
      <c r="A10" s="1355" t="s">
        <v>2</v>
      </c>
      <c r="B10" s="1355" t="s">
        <v>3</v>
      </c>
      <c r="C10" s="1199" t="s">
        <v>826</v>
      </c>
      <c r="D10" s="1199"/>
      <c r="E10" s="1199"/>
      <c r="F10" s="1199" t="s">
        <v>827</v>
      </c>
      <c r="G10" s="1199"/>
      <c r="H10" s="1199"/>
      <c r="I10" s="1356" t="s">
        <v>355</v>
      </c>
      <c r="J10" s="1357"/>
      <c r="K10" s="1358"/>
      <c r="L10" s="1356" t="s">
        <v>83</v>
      </c>
      <c r="M10" s="1357"/>
      <c r="N10" s="1358"/>
      <c r="O10" s="1346" t="s">
        <v>828</v>
      </c>
      <c r="P10" s="1347"/>
      <c r="Q10" s="1348"/>
    </row>
    <row r="11" spans="1:17" ht="39.75" customHeight="1" x14ac:dyDescent="0.2">
      <c r="A11" s="1355"/>
      <c r="B11" s="1355"/>
      <c r="C11" s="242" t="s">
        <v>104</v>
      </c>
      <c r="D11" s="242" t="s">
        <v>351</v>
      </c>
      <c r="E11" s="1055" t="s">
        <v>13</v>
      </c>
      <c r="F11" s="242" t="s">
        <v>104</v>
      </c>
      <c r="G11" s="242" t="s">
        <v>352</v>
      </c>
      <c r="H11" s="243" t="s">
        <v>13</v>
      </c>
      <c r="I11" s="242" t="s">
        <v>104</v>
      </c>
      <c r="J11" s="242" t="s">
        <v>352</v>
      </c>
      <c r="K11" s="243" t="s">
        <v>13</v>
      </c>
      <c r="L11" s="242" t="s">
        <v>104</v>
      </c>
      <c r="M11" s="242" t="s">
        <v>352</v>
      </c>
      <c r="N11" s="243" t="s">
        <v>13</v>
      </c>
      <c r="O11" s="242" t="s">
        <v>214</v>
      </c>
      <c r="P11" s="242" t="s">
        <v>353</v>
      </c>
      <c r="Q11" s="242" t="s">
        <v>105</v>
      </c>
    </row>
    <row r="12" spans="1:17" s="245" customFormat="1" x14ac:dyDescent="0.2">
      <c r="A12" s="244">
        <v>1</v>
      </c>
      <c r="B12" s="244">
        <v>2</v>
      </c>
      <c r="C12" s="244">
        <v>3</v>
      </c>
      <c r="D12" s="244">
        <v>4</v>
      </c>
      <c r="E12" s="244">
        <v>5</v>
      </c>
      <c r="F12" s="244">
        <v>6</v>
      </c>
      <c r="G12" s="244">
        <v>7</v>
      </c>
      <c r="H12" s="244">
        <v>8</v>
      </c>
      <c r="I12" s="244">
        <v>9</v>
      </c>
      <c r="J12" s="244">
        <v>10</v>
      </c>
      <c r="K12" s="244">
        <v>11</v>
      </c>
      <c r="L12" s="244">
        <v>12</v>
      </c>
      <c r="M12" s="244">
        <v>13</v>
      </c>
      <c r="N12" s="244">
        <v>14</v>
      </c>
      <c r="O12" s="244">
        <v>15</v>
      </c>
      <c r="P12" s="244">
        <v>16</v>
      </c>
      <c r="Q12" s="244">
        <v>17</v>
      </c>
    </row>
    <row r="13" spans="1:17" ht="22.5" customHeight="1" x14ac:dyDescent="0.2">
      <c r="A13" s="233">
        <v>1</v>
      </c>
      <c r="B13" s="173" t="s">
        <v>647</v>
      </c>
      <c r="C13" s="253">
        <v>519.99285799999996</v>
      </c>
      <c r="D13" s="253">
        <v>675.57023600000014</v>
      </c>
      <c r="E13" s="253">
        <f>C13+D13</f>
        <v>1195.5630940000001</v>
      </c>
      <c r="F13" s="253">
        <v>12.08833267558315</v>
      </c>
      <c r="G13" s="253">
        <v>0</v>
      </c>
      <c r="H13" s="253">
        <f>F13+G13</f>
        <v>12.08833267558315</v>
      </c>
      <c r="I13" s="253">
        <v>439.09719086820627</v>
      </c>
      <c r="J13" s="253">
        <v>560.08053053504216</v>
      </c>
      <c r="K13" s="253">
        <f>I13+J13</f>
        <v>999.17772140324837</v>
      </c>
      <c r="L13" s="253">
        <v>507.73353399999996</v>
      </c>
      <c r="M13" s="253">
        <v>659.64302800000007</v>
      </c>
      <c r="N13" s="253">
        <f>L13+M13</f>
        <v>1167.3765619999999</v>
      </c>
      <c r="O13" s="246">
        <f>F13+I13-L13</f>
        <v>-56.548010456210534</v>
      </c>
      <c r="P13" s="246">
        <f>G13+J13-M13</f>
        <v>-99.562497464957914</v>
      </c>
      <c r="Q13" s="246">
        <f>H13+K13-N13</f>
        <v>-156.11050792116839</v>
      </c>
    </row>
    <row r="14" spans="1:17" ht="22.5" customHeight="1" x14ac:dyDescent="0.2">
      <c r="A14" s="233">
        <v>2</v>
      </c>
      <c r="B14" s="173" t="s">
        <v>648</v>
      </c>
      <c r="C14" s="253">
        <v>449.03242827696681</v>
      </c>
      <c r="D14" s="253">
        <v>583.37905776145021</v>
      </c>
      <c r="E14" s="253">
        <f>C14+D14</f>
        <v>1032.411486038417</v>
      </c>
      <c r="F14" s="253">
        <v>10.438707594644507</v>
      </c>
      <c r="G14" s="253">
        <v>0</v>
      </c>
      <c r="H14" s="253">
        <f t="shared" ref="H14:H25" si="0">F14+G14</f>
        <v>10.438707594644507</v>
      </c>
      <c r="I14" s="253">
        <v>379.17612826467797</v>
      </c>
      <c r="J14" s="253">
        <v>483.64956893665476</v>
      </c>
      <c r="K14" s="253">
        <f t="shared" ref="K14:K25" si="1">I14+J14</f>
        <v>862.82569720133279</v>
      </c>
      <c r="L14" s="253">
        <v>488.90379999999999</v>
      </c>
      <c r="M14" s="253">
        <v>635.17960000000005</v>
      </c>
      <c r="N14" s="253">
        <f t="shared" ref="N14:N25" si="2">L14+M14</f>
        <v>1124.0834</v>
      </c>
      <c r="O14" s="246">
        <f t="shared" ref="O14:Q25" si="3">F14+I14-L14</f>
        <v>-99.288964140677535</v>
      </c>
      <c r="P14" s="246">
        <f t="shared" si="3"/>
        <v>-151.53003106334529</v>
      </c>
      <c r="Q14" s="246">
        <f t="shared" si="3"/>
        <v>-250.81899520402271</v>
      </c>
    </row>
    <row r="15" spans="1:17" ht="22.5" customHeight="1" x14ac:dyDescent="0.2">
      <c r="A15" s="233">
        <v>3</v>
      </c>
      <c r="B15" s="173" t="s">
        <v>649</v>
      </c>
      <c r="C15" s="253">
        <v>478.34217200000001</v>
      </c>
      <c r="D15" s="253">
        <v>621.45802400000002</v>
      </c>
      <c r="E15" s="253">
        <f t="shared" ref="E15" si="4">C15+D15</f>
        <v>1099.8001960000001</v>
      </c>
      <c r="F15" s="253">
        <v>11.120074475901774</v>
      </c>
      <c r="G15" s="253">
        <v>0</v>
      </c>
      <c r="H15" s="253">
        <f t="shared" si="0"/>
        <v>11.120074475901774</v>
      </c>
      <c r="I15" s="253">
        <v>403.92613238352664</v>
      </c>
      <c r="J15" s="253">
        <v>515.21887916207561</v>
      </c>
      <c r="K15" s="253">
        <f t="shared" si="1"/>
        <v>919.1450115456023</v>
      </c>
      <c r="L15" s="253">
        <v>478.26871399999999</v>
      </c>
      <c r="M15" s="253">
        <v>621.36258800000007</v>
      </c>
      <c r="N15" s="253">
        <f t="shared" si="2"/>
        <v>1099.631302</v>
      </c>
      <c r="O15" s="246">
        <f t="shared" si="3"/>
        <v>-63.222507140571565</v>
      </c>
      <c r="P15" s="246">
        <f t="shared" si="3"/>
        <v>-106.14370883792446</v>
      </c>
      <c r="Q15" s="246">
        <f t="shared" si="3"/>
        <v>-169.36621597849592</v>
      </c>
    </row>
    <row r="16" spans="1:17" ht="22.5" customHeight="1" x14ac:dyDescent="0.2">
      <c r="A16" s="233">
        <v>4</v>
      </c>
      <c r="B16" s="173" t="s">
        <v>650</v>
      </c>
      <c r="C16" s="253">
        <v>711.39175799999998</v>
      </c>
      <c r="D16" s="253">
        <v>924.23403600000006</v>
      </c>
      <c r="E16" s="253">
        <f t="shared" ref="E16:E25" si="5">C16+D16</f>
        <v>1635.625794</v>
      </c>
      <c r="F16" s="253">
        <v>16.537804512253398</v>
      </c>
      <c r="G16" s="253">
        <v>0</v>
      </c>
      <c r="H16" s="253">
        <f t="shared" si="0"/>
        <v>16.537804512253398</v>
      </c>
      <c r="I16" s="253">
        <v>600.72002478271509</v>
      </c>
      <c r="J16" s="253">
        <v>766.23489555484684</v>
      </c>
      <c r="K16" s="253">
        <f t="shared" si="1"/>
        <v>1366.9549203375618</v>
      </c>
      <c r="L16" s="253">
        <v>900.78280599999994</v>
      </c>
      <c r="M16" s="253">
        <v>1170.289252</v>
      </c>
      <c r="N16" s="253">
        <f t="shared" si="2"/>
        <v>2071.0720579999997</v>
      </c>
      <c r="O16" s="246">
        <f t="shared" si="3"/>
        <v>-283.52497670503146</v>
      </c>
      <c r="P16" s="246">
        <f t="shared" si="3"/>
        <v>-404.05435644515319</v>
      </c>
      <c r="Q16" s="246">
        <f t="shared" si="3"/>
        <v>-687.57933315018454</v>
      </c>
    </row>
    <row r="17" spans="1:17" ht="22.5" customHeight="1" x14ac:dyDescent="0.2">
      <c r="A17" s="233">
        <v>5</v>
      </c>
      <c r="B17" s="173" t="s">
        <v>651</v>
      </c>
      <c r="C17" s="253">
        <v>670.03201010698444</v>
      </c>
      <c r="D17" s="253">
        <v>870.49980827915499</v>
      </c>
      <c r="E17" s="253">
        <f t="shared" si="5"/>
        <v>1540.5318183861395</v>
      </c>
      <c r="F17" s="253">
        <v>15.514520861286973</v>
      </c>
      <c r="G17" s="253">
        <v>0</v>
      </c>
      <c r="H17" s="253">
        <f t="shared" si="0"/>
        <v>15.514520861286973</v>
      </c>
      <c r="I17" s="253">
        <v>563.55021909823972</v>
      </c>
      <c r="J17" s="253">
        <v>718.82378721575049</v>
      </c>
      <c r="K17" s="253">
        <f t="shared" si="1"/>
        <v>1282.3740063139903</v>
      </c>
      <c r="L17" s="253">
        <v>736.31160540000008</v>
      </c>
      <c r="M17" s="253">
        <v>956.60968680000008</v>
      </c>
      <c r="N17" s="253">
        <f t="shared" si="2"/>
        <v>1692.9212922000002</v>
      </c>
      <c r="O17" s="246">
        <f t="shared" si="3"/>
        <v>-157.24686544047336</v>
      </c>
      <c r="P17" s="246">
        <f t="shared" si="3"/>
        <v>-237.78589958424959</v>
      </c>
      <c r="Q17" s="246">
        <f t="shared" si="3"/>
        <v>-395.03276502472295</v>
      </c>
    </row>
    <row r="18" spans="1:17" ht="22.5" customHeight="1" x14ac:dyDescent="0.2">
      <c r="A18" s="233">
        <v>6</v>
      </c>
      <c r="B18" s="173" t="s">
        <v>652</v>
      </c>
      <c r="C18" s="253">
        <v>523.97279760000004</v>
      </c>
      <c r="D18" s="253">
        <v>680.74093920000007</v>
      </c>
      <c r="E18" s="253">
        <f t="shared" si="5"/>
        <v>1204.7137368000001</v>
      </c>
      <c r="F18" s="253">
        <v>12.168973423156064</v>
      </c>
      <c r="G18" s="253">
        <v>0</v>
      </c>
      <c r="H18" s="253">
        <f t="shared" si="0"/>
        <v>12.168973423156064</v>
      </c>
      <c r="I18" s="253">
        <v>442.02638935066534</v>
      </c>
      <c r="J18" s="253">
        <v>563.81680367505987</v>
      </c>
      <c r="K18" s="253">
        <f t="shared" si="1"/>
        <v>1005.8431930257252</v>
      </c>
      <c r="L18" s="253">
        <v>488.6742994</v>
      </c>
      <c r="M18" s="253">
        <v>634.88143480000008</v>
      </c>
      <c r="N18" s="253">
        <f t="shared" si="2"/>
        <v>1123.5557342000002</v>
      </c>
      <c r="O18" s="246">
        <f t="shared" si="3"/>
        <v>-34.478936626178609</v>
      </c>
      <c r="P18" s="246">
        <f t="shared" si="3"/>
        <v>-71.064631124940206</v>
      </c>
      <c r="Q18" s="246">
        <f t="shared" si="3"/>
        <v>-105.54356775111887</v>
      </c>
    </row>
    <row r="19" spans="1:17" ht="22.5" customHeight="1" x14ac:dyDescent="0.2">
      <c r="A19" s="233">
        <v>7</v>
      </c>
      <c r="B19" s="173" t="s">
        <v>653</v>
      </c>
      <c r="C19" s="253">
        <v>1023.8673984000001</v>
      </c>
      <c r="D19" s="253">
        <v>1330.1996928000001</v>
      </c>
      <c r="E19" s="253">
        <f t="shared" si="5"/>
        <v>2354.0670912</v>
      </c>
      <c r="F19" s="253">
        <v>23.761507808367387</v>
      </c>
      <c r="G19" s="253">
        <v>0</v>
      </c>
      <c r="H19" s="253">
        <f t="shared" si="0"/>
        <v>23.761507808367387</v>
      </c>
      <c r="I19" s="253">
        <v>863.11417872554068</v>
      </c>
      <c r="J19" s="253">
        <v>1100.9258478221809</v>
      </c>
      <c r="K19" s="253">
        <f t="shared" si="1"/>
        <v>1964.0400265477215</v>
      </c>
      <c r="L19" s="253">
        <v>684.93871599999989</v>
      </c>
      <c r="M19" s="253">
        <v>889.86647200000004</v>
      </c>
      <c r="N19" s="253">
        <f t="shared" si="2"/>
        <v>1574.8051879999998</v>
      </c>
      <c r="O19" s="246">
        <f>F19+I19-L19</f>
        <v>201.93697053390815</v>
      </c>
      <c r="P19" s="246">
        <f t="shared" si="3"/>
        <v>211.05937582218087</v>
      </c>
      <c r="Q19" s="246">
        <f t="shared" si="3"/>
        <v>412.99634635608913</v>
      </c>
    </row>
    <row r="20" spans="1:17" ht="22.5" customHeight="1" x14ac:dyDescent="0.2">
      <c r="A20" s="233">
        <v>8</v>
      </c>
      <c r="B20" s="173" t="s">
        <v>654</v>
      </c>
      <c r="C20" s="253">
        <v>439.61348200000003</v>
      </c>
      <c r="D20" s="253">
        <v>571.14204400000006</v>
      </c>
      <c r="E20" s="253">
        <f t="shared" si="5"/>
        <v>1010.7555260000001</v>
      </c>
      <c r="F20" s="253">
        <v>10.219744247117111</v>
      </c>
      <c r="G20" s="253">
        <v>0</v>
      </c>
      <c r="H20" s="253">
        <f t="shared" si="0"/>
        <v>10.219744247117111</v>
      </c>
      <c r="I20" s="253">
        <v>371.22249285583604</v>
      </c>
      <c r="J20" s="253">
        <v>473.5044884576418</v>
      </c>
      <c r="K20" s="253">
        <f t="shared" si="1"/>
        <v>844.72698131347784</v>
      </c>
      <c r="L20" s="253">
        <v>425.493222</v>
      </c>
      <c r="M20" s="253">
        <v>552.79712400000005</v>
      </c>
      <c r="N20" s="253">
        <f t="shared" si="2"/>
        <v>978.290346</v>
      </c>
      <c r="O20" s="246">
        <f t="shared" si="3"/>
        <v>-44.050984897046874</v>
      </c>
      <c r="P20" s="246">
        <f t="shared" si="3"/>
        <v>-79.292635542358255</v>
      </c>
      <c r="Q20" s="246">
        <f t="shared" si="3"/>
        <v>-123.34362043940507</v>
      </c>
    </row>
    <row r="21" spans="1:17" ht="22.5" customHeight="1" x14ac:dyDescent="0.2">
      <c r="A21" s="233">
        <v>9</v>
      </c>
      <c r="B21" s="173" t="s">
        <v>655</v>
      </c>
      <c r="C21" s="253">
        <v>507.70600579999996</v>
      </c>
      <c r="D21" s="253">
        <v>659.60726360000012</v>
      </c>
      <c r="E21" s="253">
        <f t="shared" si="5"/>
        <v>1167.3132694000001</v>
      </c>
      <c r="F21" s="253">
        <v>11.75609279558274</v>
      </c>
      <c r="G21" s="253">
        <v>0</v>
      </c>
      <c r="H21" s="253">
        <f t="shared" si="0"/>
        <v>11.75609279558274</v>
      </c>
      <c r="I21" s="253">
        <v>427.02889312047472</v>
      </c>
      <c r="J21" s="253">
        <v>544.6870851981688</v>
      </c>
      <c r="K21" s="253">
        <f t="shared" si="1"/>
        <v>971.71597831864347</v>
      </c>
      <c r="L21" s="253">
        <v>450.07850159999998</v>
      </c>
      <c r="M21" s="253">
        <v>584.73810720000006</v>
      </c>
      <c r="N21" s="253">
        <f t="shared" si="2"/>
        <v>1034.8166088</v>
      </c>
      <c r="O21" s="246">
        <f t="shared" si="3"/>
        <v>-11.29351568394253</v>
      </c>
      <c r="P21" s="246">
        <f t="shared" si="3"/>
        <v>-40.051022001831257</v>
      </c>
      <c r="Q21" s="246">
        <f t="shared" si="3"/>
        <v>-51.344537685773844</v>
      </c>
    </row>
    <row r="22" spans="1:17" ht="22.5" customHeight="1" x14ac:dyDescent="0.2">
      <c r="A22" s="233">
        <v>10</v>
      </c>
      <c r="B22" s="173" t="s">
        <v>656</v>
      </c>
      <c r="C22" s="253">
        <v>653.10691600000007</v>
      </c>
      <c r="D22" s="253">
        <v>848.51087200000006</v>
      </c>
      <c r="E22" s="253">
        <f t="shared" si="5"/>
        <v>1501.617788</v>
      </c>
      <c r="F22" s="253">
        <v>15.182850210092962</v>
      </c>
      <c r="G22" s="253">
        <v>0</v>
      </c>
      <c r="H22" s="253">
        <f t="shared" si="0"/>
        <v>15.182850210092962</v>
      </c>
      <c r="I22" s="253">
        <v>551.5025980456785</v>
      </c>
      <c r="J22" s="253">
        <v>703.4567155716303</v>
      </c>
      <c r="K22" s="253">
        <f t="shared" si="1"/>
        <v>1254.9593136173089</v>
      </c>
      <c r="L22" s="253">
        <v>633.632384</v>
      </c>
      <c r="M22" s="253">
        <v>823.20972800000015</v>
      </c>
      <c r="N22" s="253">
        <f t="shared" si="2"/>
        <v>1456.8421120000003</v>
      </c>
      <c r="O22" s="246">
        <f t="shared" si="3"/>
        <v>-66.94693574422854</v>
      </c>
      <c r="P22" s="246">
        <f t="shared" si="3"/>
        <v>-119.75301242836986</v>
      </c>
      <c r="Q22" s="246">
        <f t="shared" si="3"/>
        <v>-186.6999481725984</v>
      </c>
    </row>
    <row r="23" spans="1:17" ht="22.5" customHeight="1" x14ac:dyDescent="0.2">
      <c r="A23" s="233">
        <v>11</v>
      </c>
      <c r="B23" s="173" t="s">
        <v>657</v>
      </c>
      <c r="C23" s="253">
        <v>505.38287799999995</v>
      </c>
      <c r="D23" s="253">
        <v>656.58907599999998</v>
      </c>
      <c r="E23" s="253">
        <f t="shared" si="5"/>
        <v>1161.9719539999999</v>
      </c>
      <c r="F23" s="253">
        <v>11.748692821099578</v>
      </c>
      <c r="G23" s="253">
        <v>0</v>
      </c>
      <c r="H23" s="253">
        <f t="shared" si="0"/>
        <v>11.748692821099578</v>
      </c>
      <c r="I23" s="253">
        <v>426.76009608326086</v>
      </c>
      <c r="J23" s="253">
        <v>544.34422719237898</v>
      </c>
      <c r="K23" s="253">
        <f t="shared" si="1"/>
        <v>971.1043232756399</v>
      </c>
      <c r="L23" s="253">
        <v>490.756574</v>
      </c>
      <c r="M23" s="253">
        <v>637.58670800000004</v>
      </c>
      <c r="N23" s="253">
        <f t="shared" si="2"/>
        <v>1128.343282</v>
      </c>
      <c r="O23" s="246">
        <f t="shared" si="3"/>
        <v>-52.247785095639586</v>
      </c>
      <c r="P23" s="246">
        <f t="shared" si="3"/>
        <v>-93.242480807621064</v>
      </c>
      <c r="Q23" s="246">
        <f t="shared" si="3"/>
        <v>-145.49026590326059</v>
      </c>
    </row>
    <row r="24" spans="1:17" ht="22.5" customHeight="1" x14ac:dyDescent="0.2">
      <c r="A24" s="233">
        <v>12</v>
      </c>
      <c r="B24" s="173" t="s">
        <v>658</v>
      </c>
      <c r="C24" s="253">
        <v>823.34991200000002</v>
      </c>
      <c r="D24" s="253">
        <v>1069.689104</v>
      </c>
      <c r="E24" s="253">
        <f t="shared" si="5"/>
        <v>1893.0390160000002</v>
      </c>
      <c r="F24" s="253">
        <v>19.140508358036161</v>
      </c>
      <c r="G24" s="253">
        <v>0</v>
      </c>
      <c r="H24" s="253">
        <f t="shared" si="0"/>
        <v>19.140508358036161</v>
      </c>
      <c r="I24" s="253">
        <v>695.26076733304831</v>
      </c>
      <c r="J24" s="253">
        <v>886.82421005278536</v>
      </c>
      <c r="K24" s="253">
        <f t="shared" si="1"/>
        <v>1582.0849773858336</v>
      </c>
      <c r="L24" s="253">
        <v>750.18574400000011</v>
      </c>
      <c r="M24" s="253">
        <v>974.63484800000015</v>
      </c>
      <c r="N24" s="253">
        <f t="shared" si="2"/>
        <v>1724.8205920000003</v>
      </c>
      <c r="O24" s="246">
        <f t="shared" si="3"/>
        <v>-35.784468308915621</v>
      </c>
      <c r="P24" s="246">
        <f t="shared" si="3"/>
        <v>-87.810637947214786</v>
      </c>
      <c r="Q24" s="246">
        <f t="shared" si="3"/>
        <v>-123.59510625613052</v>
      </c>
    </row>
    <row r="25" spans="1:17" ht="22.5" customHeight="1" x14ac:dyDescent="0.2">
      <c r="A25" s="233">
        <v>13</v>
      </c>
      <c r="B25" s="173" t="s">
        <v>659</v>
      </c>
      <c r="C25" s="253">
        <v>916.556242</v>
      </c>
      <c r="D25" s="253">
        <v>1190.781964</v>
      </c>
      <c r="E25" s="253">
        <f t="shared" si="5"/>
        <v>2107.3382059999999</v>
      </c>
      <c r="F25" s="253">
        <v>21.293141960894328</v>
      </c>
      <c r="G25" s="253">
        <v>0</v>
      </c>
      <c r="H25" s="253">
        <f t="shared" si="0"/>
        <v>21.293141960894328</v>
      </c>
      <c r="I25" s="253">
        <v>773.45313623539801</v>
      </c>
      <c r="J25" s="253">
        <v>986.56072481396598</v>
      </c>
      <c r="K25" s="253">
        <f t="shared" si="1"/>
        <v>1760.0138610493641</v>
      </c>
      <c r="L25" s="253">
        <v>873.43973500000004</v>
      </c>
      <c r="M25" s="253">
        <v>1134.7653700000001</v>
      </c>
      <c r="N25" s="253">
        <f t="shared" si="2"/>
        <v>2008.205105</v>
      </c>
      <c r="O25" s="246">
        <f t="shared" si="3"/>
        <v>-78.693456803707704</v>
      </c>
      <c r="P25" s="246">
        <f t="shared" si="3"/>
        <v>-148.2046451860341</v>
      </c>
      <c r="Q25" s="246">
        <f t="shared" si="3"/>
        <v>-226.89810198974169</v>
      </c>
    </row>
    <row r="26" spans="1:17" ht="22.5" customHeight="1" x14ac:dyDescent="0.2">
      <c r="A26" s="1355" t="s">
        <v>660</v>
      </c>
      <c r="B26" s="1355"/>
      <c r="C26" s="254">
        <v>8222.3468581839516</v>
      </c>
      <c r="D26" s="254">
        <v>10682.402117640606</v>
      </c>
      <c r="E26" s="254">
        <f t="shared" ref="E26:Q26" si="6">SUM(E13:E25)</f>
        <v>18904.748975824557</v>
      </c>
      <c r="F26" s="254">
        <f t="shared" si="6"/>
        <v>190.97095174401613</v>
      </c>
      <c r="G26" s="254">
        <f t="shared" si="6"/>
        <v>0</v>
      </c>
      <c r="H26" s="254">
        <f t="shared" si="6"/>
        <v>190.97095174401613</v>
      </c>
      <c r="I26" s="254">
        <f t="shared" si="6"/>
        <v>6936.8382471472687</v>
      </c>
      <c r="J26" s="254">
        <f t="shared" si="6"/>
        <v>8848.1277641881825</v>
      </c>
      <c r="K26" s="254">
        <f t="shared" si="6"/>
        <v>15784.966011335448</v>
      </c>
      <c r="L26" s="254">
        <v>7909.1996353999994</v>
      </c>
      <c r="M26" s="254">
        <v>10275.563946800001</v>
      </c>
      <c r="N26" s="254">
        <f t="shared" si="6"/>
        <v>18184.763582200001</v>
      </c>
      <c r="O26" s="254">
        <f t="shared" si="6"/>
        <v>-781.39043650871577</v>
      </c>
      <c r="P26" s="254">
        <f t="shared" si="6"/>
        <v>-1427.4361826118193</v>
      </c>
      <c r="Q26" s="254">
        <f t="shared" si="6"/>
        <v>-2208.8266191205344</v>
      </c>
    </row>
    <row r="27" spans="1:17" ht="23.25" customHeight="1" x14ac:dyDescent="0.2">
      <c r="A27" s="255"/>
      <c r="B27" s="255"/>
      <c r="C27" s="255"/>
      <c r="D27" s="1062"/>
      <c r="E27" s="255"/>
      <c r="F27" s="255"/>
      <c r="G27" s="255"/>
      <c r="H27" s="255"/>
      <c r="I27" s="1006"/>
      <c r="J27" s="255"/>
      <c r="K27" s="255"/>
      <c r="L27" s="255"/>
      <c r="M27" s="255"/>
      <c r="N27" s="255"/>
      <c r="O27" s="255"/>
      <c r="P27" s="255"/>
      <c r="Q27" s="255"/>
    </row>
    <row r="28" spans="1:17" ht="23.25" customHeight="1" x14ac:dyDescent="0.2">
      <c r="A28" s="256"/>
      <c r="B28" s="256"/>
      <c r="C28" s="256"/>
      <c r="D28" s="249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</row>
    <row r="29" spans="1:17" ht="66.75" customHeight="1" x14ac:dyDescent="0.2">
      <c r="A29" s="1353" t="s">
        <v>682</v>
      </c>
      <c r="B29" s="1353"/>
      <c r="C29" s="249"/>
      <c r="D29" s="249"/>
      <c r="E29" s="249"/>
      <c r="F29" s="249"/>
      <c r="G29" s="249"/>
      <c r="H29" s="251"/>
      <c r="I29" s="251"/>
      <c r="J29" s="251"/>
      <c r="N29" s="1354" t="s">
        <v>646</v>
      </c>
      <c r="O29" s="1354"/>
      <c r="P29" s="1354"/>
      <c r="Q29" s="1354"/>
    </row>
  </sheetData>
  <mergeCells count="16">
    <mergeCell ref="A26:B26"/>
    <mergeCell ref="A29:B29"/>
    <mergeCell ref="N29:Q29"/>
    <mergeCell ref="N9:Q9"/>
    <mergeCell ref="A10:A11"/>
    <mergeCell ref="B10:B11"/>
    <mergeCell ref="C10:E10"/>
    <mergeCell ref="F10:H10"/>
    <mergeCell ref="I10:K10"/>
    <mergeCell ref="L10:N10"/>
    <mergeCell ref="O10:Q10"/>
    <mergeCell ref="P1:Q1"/>
    <mergeCell ref="A2:Q2"/>
    <mergeCell ref="A3:Q3"/>
    <mergeCell ref="D6:O6"/>
    <mergeCell ref="A8:C8"/>
  </mergeCells>
  <printOptions horizontalCentered="1"/>
  <pageMargins left="0.72" right="0.2" top="0.5" bottom="0.23" header="0.2" footer="0.2"/>
  <pageSetup paperSize="9" scale="85" orientation="landscape" r:id="rId1"/>
  <headerFooter>
    <oddFooter>&amp;CSheet-76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5" tint="0.59999389629810485"/>
  </sheetPr>
  <dimension ref="A1:W29"/>
  <sheetViews>
    <sheetView view="pageBreakPreview" topLeftCell="A12" zoomScale="70" zoomScaleSheetLayoutView="70" workbookViewId="0">
      <selection activeCell="S13" sqref="S13:S26"/>
    </sheetView>
  </sheetViews>
  <sheetFormatPr defaultColWidth="9.140625" defaultRowHeight="13.5" x14ac:dyDescent="0.25"/>
  <cols>
    <col min="1" max="1" width="9.140625" style="424"/>
    <col min="2" max="2" width="17.5703125" style="424" customWidth="1"/>
    <col min="3" max="3" width="14.7109375" style="424" customWidth="1"/>
    <col min="4" max="4" width="11.28515625" style="424" customWidth="1"/>
    <col min="5" max="5" width="12.42578125" style="424" customWidth="1"/>
    <col min="6" max="6" width="12" style="424" customWidth="1"/>
    <col min="7" max="7" width="13.140625" style="424" customWidth="1"/>
    <col min="8" max="13" width="9.140625" style="424"/>
    <col min="14" max="14" width="9.28515625" style="424" bestFit="1" customWidth="1"/>
    <col min="15" max="19" width="9.140625" style="424"/>
    <col min="20" max="20" width="10.42578125" style="424" customWidth="1"/>
    <col min="21" max="21" width="11.140625" style="424" customWidth="1"/>
    <col min="22" max="22" width="12.140625" style="424" customWidth="1"/>
    <col min="23" max="16384" width="9.140625" style="424"/>
  </cols>
  <sheetData>
    <row r="1" spans="1:23" ht="15.75" x14ac:dyDescent="0.25">
      <c r="Q1" s="1364" t="s">
        <v>57</v>
      </c>
      <c r="R1" s="1364"/>
      <c r="S1" s="1364"/>
    </row>
    <row r="3" spans="1:23" ht="15.75" x14ac:dyDescent="0.25">
      <c r="A3" s="1365" t="s">
        <v>0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</row>
    <row r="4" spans="1:23" ht="20.25" x14ac:dyDescent="0.3">
      <c r="A4" s="1366" t="s">
        <v>793</v>
      </c>
      <c r="B4" s="1366"/>
      <c r="C4" s="1366"/>
      <c r="D4" s="1366"/>
      <c r="E4" s="1366"/>
      <c r="F4" s="1366"/>
      <c r="G4" s="1366"/>
      <c r="H4" s="1366"/>
      <c r="I4" s="1366"/>
      <c r="J4" s="1366"/>
      <c r="K4" s="1366"/>
      <c r="L4" s="1366"/>
      <c r="M4" s="1366"/>
      <c r="N4" s="1366"/>
      <c r="O4" s="1366"/>
      <c r="P4" s="1366"/>
      <c r="Q4" s="425"/>
    </row>
    <row r="5" spans="1:23" ht="16.5" x14ac:dyDescent="0.3">
      <c r="A5" s="1367" t="s">
        <v>679</v>
      </c>
      <c r="B5" s="1367"/>
      <c r="C5" s="1367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U5" s="426"/>
    </row>
    <row r="7" spans="1:23" ht="18.75" x14ac:dyDescent="0.3">
      <c r="A7" s="1368" t="s">
        <v>830</v>
      </c>
      <c r="B7" s="1368"/>
      <c r="C7" s="1368"/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8"/>
      <c r="S7" s="1368"/>
    </row>
    <row r="8" spans="1:23" ht="16.5" x14ac:dyDescent="0.3">
      <c r="A8" s="427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T8" s="1363" t="s">
        <v>206</v>
      </c>
      <c r="U8" s="1363"/>
      <c r="V8" s="1363"/>
      <c r="W8" s="1363"/>
    </row>
    <row r="9" spans="1:23" ht="15" x14ac:dyDescent="0.3">
      <c r="S9" s="429" t="s">
        <v>947</v>
      </c>
      <c r="T9" s="430"/>
      <c r="U9" s="430"/>
      <c r="V9" s="430"/>
    </row>
    <row r="10" spans="1:23" s="431" customFormat="1" ht="38.25" customHeight="1" x14ac:dyDescent="0.3">
      <c r="A10" s="1369" t="s">
        <v>17</v>
      </c>
      <c r="B10" s="1369" t="s">
        <v>187</v>
      </c>
      <c r="C10" s="1369" t="s">
        <v>354</v>
      </c>
      <c r="D10" s="1369" t="s">
        <v>457</v>
      </c>
      <c r="E10" s="1369" t="s">
        <v>831</v>
      </c>
      <c r="F10" s="1369"/>
      <c r="G10" s="1369"/>
      <c r="H10" s="1369" t="s">
        <v>832</v>
      </c>
      <c r="I10" s="1369"/>
      <c r="J10" s="1369"/>
      <c r="K10" s="1369" t="s">
        <v>356</v>
      </c>
      <c r="L10" s="1369"/>
      <c r="M10" s="1369"/>
      <c r="N10" s="1369" t="s">
        <v>144</v>
      </c>
      <c r="O10" s="1369"/>
      <c r="P10" s="1369"/>
      <c r="Q10" s="1369" t="s">
        <v>833</v>
      </c>
      <c r="R10" s="1369"/>
      <c r="S10" s="1369"/>
      <c r="T10" s="1369" t="s">
        <v>232</v>
      </c>
      <c r="U10" s="1369" t="s">
        <v>409</v>
      </c>
      <c r="V10" s="1369" t="s">
        <v>357</v>
      </c>
    </row>
    <row r="11" spans="1:23" s="431" customFormat="1" ht="76.5" customHeight="1" x14ac:dyDescent="0.3">
      <c r="A11" s="1369"/>
      <c r="B11" s="1369"/>
      <c r="C11" s="1369"/>
      <c r="D11" s="1369"/>
      <c r="E11" s="311" t="s">
        <v>161</v>
      </c>
      <c r="F11" s="311" t="s">
        <v>188</v>
      </c>
      <c r="G11" s="311" t="s">
        <v>13</v>
      </c>
      <c r="H11" s="311" t="s">
        <v>161</v>
      </c>
      <c r="I11" s="311" t="s">
        <v>188</v>
      </c>
      <c r="J11" s="311" t="s">
        <v>13</v>
      </c>
      <c r="K11" s="311" t="s">
        <v>161</v>
      </c>
      <c r="L11" s="311" t="s">
        <v>188</v>
      </c>
      <c r="M11" s="311" t="s">
        <v>13</v>
      </c>
      <c r="N11" s="311" t="s">
        <v>161</v>
      </c>
      <c r="O11" s="311" t="s">
        <v>188</v>
      </c>
      <c r="P11" s="311" t="s">
        <v>13</v>
      </c>
      <c r="Q11" s="311" t="s">
        <v>215</v>
      </c>
      <c r="R11" s="311" t="s">
        <v>199</v>
      </c>
      <c r="S11" s="311" t="s">
        <v>200</v>
      </c>
      <c r="T11" s="1369"/>
      <c r="U11" s="1369"/>
      <c r="V11" s="1369"/>
    </row>
    <row r="12" spans="1:23" s="431" customFormat="1" ht="16.5" x14ac:dyDescent="0.3">
      <c r="A12" s="311">
        <v>1</v>
      </c>
      <c r="B12" s="311">
        <v>2</v>
      </c>
      <c r="C12" s="311">
        <v>3</v>
      </c>
      <c r="D12" s="311">
        <v>4</v>
      </c>
      <c r="E12" s="311">
        <v>5</v>
      </c>
      <c r="F12" s="311">
        <v>6</v>
      </c>
      <c r="G12" s="311">
        <v>7</v>
      </c>
      <c r="H12" s="311">
        <v>8</v>
      </c>
      <c r="I12" s="311">
        <v>9</v>
      </c>
      <c r="J12" s="311">
        <v>10</v>
      </c>
      <c r="K12" s="311">
        <v>11</v>
      </c>
      <c r="L12" s="311">
        <v>12</v>
      </c>
      <c r="M12" s="311">
        <v>13</v>
      </c>
      <c r="N12" s="311">
        <v>14</v>
      </c>
      <c r="O12" s="311">
        <v>15</v>
      </c>
      <c r="P12" s="311">
        <v>16</v>
      </c>
      <c r="Q12" s="311">
        <v>17</v>
      </c>
      <c r="R12" s="311">
        <v>18</v>
      </c>
      <c r="S12" s="311">
        <v>19</v>
      </c>
      <c r="T12" s="311">
        <v>20</v>
      </c>
      <c r="U12" s="311">
        <v>21</v>
      </c>
      <c r="V12" s="311">
        <v>22</v>
      </c>
    </row>
    <row r="13" spans="1:23" s="431" customFormat="1" ht="33" customHeight="1" x14ac:dyDescent="0.3">
      <c r="A13" s="432">
        <v>1</v>
      </c>
      <c r="B13" s="218" t="s">
        <v>647</v>
      </c>
      <c r="C13" s="606">
        <v>4553</v>
      </c>
      <c r="D13" s="649">
        <v>4163</v>
      </c>
      <c r="E13" s="261">
        <v>273.18</v>
      </c>
      <c r="F13" s="261">
        <v>182.12</v>
      </c>
      <c r="G13" s="261">
        <f>E13+F13</f>
        <v>455.3</v>
      </c>
      <c r="H13" s="261">
        <v>0</v>
      </c>
      <c r="I13" s="261">
        <v>0</v>
      </c>
      <c r="J13" s="261">
        <f>H13+I13</f>
        <v>0</v>
      </c>
      <c r="K13" s="261">
        <v>273.18</v>
      </c>
      <c r="L13" s="261">
        <v>182.12</v>
      </c>
      <c r="M13" s="261">
        <f>K13+L13</f>
        <v>455.3</v>
      </c>
      <c r="N13" s="261">
        <f>(D13*10*0.006)</f>
        <v>249.78</v>
      </c>
      <c r="O13" s="261">
        <f>(D13*10*0.004)</f>
        <v>166.52</v>
      </c>
      <c r="P13" s="261">
        <f>N13+O13</f>
        <v>416.3</v>
      </c>
      <c r="Q13" s="261">
        <f>(H13+K13-N13)</f>
        <v>23.400000000000006</v>
      </c>
      <c r="R13" s="261">
        <f>(I13+L13-O13)</f>
        <v>15.599999999999994</v>
      </c>
      <c r="S13" s="261">
        <f t="shared" ref="S13:S25" si="0">(J13+M13-P13)</f>
        <v>39</v>
      </c>
      <c r="T13" s="1370" t="s">
        <v>683</v>
      </c>
      <c r="U13" s="1370" t="s">
        <v>684</v>
      </c>
      <c r="V13" s="1370" t="s">
        <v>684</v>
      </c>
    </row>
    <row r="14" spans="1:23" s="431" customFormat="1" ht="33" customHeight="1" x14ac:dyDescent="0.3">
      <c r="A14" s="432">
        <v>2</v>
      </c>
      <c r="B14" s="218" t="s">
        <v>648</v>
      </c>
      <c r="C14" s="606">
        <v>4224</v>
      </c>
      <c r="D14" s="649">
        <v>3442</v>
      </c>
      <c r="E14" s="261">
        <v>253.44</v>
      </c>
      <c r="F14" s="261">
        <v>168.96</v>
      </c>
      <c r="G14" s="261">
        <f t="shared" ref="G14:G25" si="1">E14+F14</f>
        <v>422.4</v>
      </c>
      <c r="H14" s="261">
        <v>0</v>
      </c>
      <c r="I14" s="261">
        <v>0</v>
      </c>
      <c r="J14" s="261">
        <f t="shared" ref="J14:J25" si="2">H14+I14</f>
        <v>0</v>
      </c>
      <c r="K14" s="261">
        <v>253.44</v>
      </c>
      <c r="L14" s="261">
        <v>168.96</v>
      </c>
      <c r="M14" s="261">
        <f t="shared" ref="M14:M25" si="3">K14+L14</f>
        <v>422.4</v>
      </c>
      <c r="N14" s="261">
        <f t="shared" ref="N14:N25" si="4">(D14*10*0.006)</f>
        <v>206.52</v>
      </c>
      <c r="O14" s="261">
        <f t="shared" ref="O14:O25" si="5">(D14*10*0.004)</f>
        <v>137.68</v>
      </c>
      <c r="P14" s="261">
        <f t="shared" ref="P14:P25" si="6">N14+O14</f>
        <v>344.20000000000005</v>
      </c>
      <c r="Q14" s="261">
        <f t="shared" ref="Q14:R25" si="7">(H14+K14-N14)</f>
        <v>46.919999999999987</v>
      </c>
      <c r="R14" s="261">
        <f t="shared" si="7"/>
        <v>31.28</v>
      </c>
      <c r="S14" s="261">
        <f t="shared" si="0"/>
        <v>78.199999999999932</v>
      </c>
      <c r="T14" s="1371"/>
      <c r="U14" s="1371"/>
      <c r="V14" s="1371"/>
    </row>
    <row r="15" spans="1:23" s="431" customFormat="1" ht="33" customHeight="1" x14ac:dyDescent="0.3">
      <c r="A15" s="432">
        <v>3</v>
      </c>
      <c r="B15" s="218" t="s">
        <v>649</v>
      </c>
      <c r="C15" s="606">
        <v>4991</v>
      </c>
      <c r="D15" s="649">
        <v>4436</v>
      </c>
      <c r="E15" s="261">
        <v>299.45999999999998</v>
      </c>
      <c r="F15" s="261">
        <v>199.64</v>
      </c>
      <c r="G15" s="261">
        <f t="shared" si="1"/>
        <v>499.09999999999997</v>
      </c>
      <c r="H15" s="261">
        <v>0</v>
      </c>
      <c r="I15" s="261">
        <v>0</v>
      </c>
      <c r="J15" s="261">
        <f t="shared" si="2"/>
        <v>0</v>
      </c>
      <c r="K15" s="261">
        <v>299.45999999999998</v>
      </c>
      <c r="L15" s="261">
        <v>199.64</v>
      </c>
      <c r="M15" s="261">
        <f t="shared" si="3"/>
        <v>499.09999999999997</v>
      </c>
      <c r="N15" s="261">
        <f t="shared" si="4"/>
        <v>266.16000000000003</v>
      </c>
      <c r="O15" s="261">
        <f t="shared" si="5"/>
        <v>177.44</v>
      </c>
      <c r="P15" s="261">
        <f t="shared" si="6"/>
        <v>443.6</v>
      </c>
      <c r="Q15" s="261">
        <f t="shared" si="7"/>
        <v>33.299999999999955</v>
      </c>
      <c r="R15" s="261">
        <f t="shared" si="7"/>
        <v>22.199999999999989</v>
      </c>
      <c r="S15" s="261">
        <f t="shared" si="0"/>
        <v>55.499999999999943</v>
      </c>
      <c r="T15" s="1371"/>
      <c r="U15" s="1371"/>
      <c r="V15" s="1371"/>
    </row>
    <row r="16" spans="1:23" s="431" customFormat="1" ht="33" customHeight="1" x14ac:dyDescent="0.3">
      <c r="A16" s="432">
        <v>4</v>
      </c>
      <c r="B16" s="218" t="s">
        <v>650</v>
      </c>
      <c r="C16" s="606">
        <v>5848</v>
      </c>
      <c r="D16" s="649">
        <v>5754</v>
      </c>
      <c r="E16" s="261">
        <v>350.88</v>
      </c>
      <c r="F16" s="261">
        <v>233.92</v>
      </c>
      <c r="G16" s="261">
        <f t="shared" si="1"/>
        <v>584.79999999999995</v>
      </c>
      <c r="H16" s="261">
        <v>0</v>
      </c>
      <c r="I16" s="261">
        <v>0</v>
      </c>
      <c r="J16" s="261">
        <f t="shared" si="2"/>
        <v>0</v>
      </c>
      <c r="K16" s="261">
        <v>350.88</v>
      </c>
      <c r="L16" s="261">
        <v>233.92</v>
      </c>
      <c r="M16" s="261">
        <f t="shared" si="3"/>
        <v>584.79999999999995</v>
      </c>
      <c r="N16" s="261">
        <f t="shared" si="4"/>
        <v>345.24</v>
      </c>
      <c r="O16" s="261">
        <f t="shared" si="5"/>
        <v>230.16</v>
      </c>
      <c r="P16" s="261">
        <f t="shared" si="6"/>
        <v>575.4</v>
      </c>
      <c r="Q16" s="261">
        <f t="shared" si="7"/>
        <v>5.6399999999999864</v>
      </c>
      <c r="R16" s="261">
        <f t="shared" si="7"/>
        <v>3.7599999999999909</v>
      </c>
      <c r="S16" s="261">
        <f t="shared" si="0"/>
        <v>9.3999999999999773</v>
      </c>
      <c r="T16" s="1371"/>
      <c r="U16" s="1371"/>
      <c r="V16" s="1371"/>
    </row>
    <row r="17" spans="1:22" s="431" customFormat="1" ht="33" customHeight="1" x14ac:dyDescent="0.3">
      <c r="A17" s="432">
        <v>5</v>
      </c>
      <c r="B17" s="218" t="s">
        <v>651</v>
      </c>
      <c r="C17" s="606">
        <v>4596</v>
      </c>
      <c r="D17" s="649">
        <v>4185</v>
      </c>
      <c r="E17" s="261">
        <v>275.76</v>
      </c>
      <c r="F17" s="261">
        <v>183.84</v>
      </c>
      <c r="G17" s="261">
        <f t="shared" si="1"/>
        <v>459.6</v>
      </c>
      <c r="H17" s="261">
        <v>0</v>
      </c>
      <c r="I17" s="261">
        <v>0</v>
      </c>
      <c r="J17" s="261">
        <f t="shared" si="2"/>
        <v>0</v>
      </c>
      <c r="K17" s="261">
        <v>275.76</v>
      </c>
      <c r="L17" s="261">
        <v>183.84</v>
      </c>
      <c r="M17" s="261">
        <f t="shared" si="3"/>
        <v>459.6</v>
      </c>
      <c r="N17" s="261">
        <f t="shared" si="4"/>
        <v>251.1</v>
      </c>
      <c r="O17" s="261">
        <f t="shared" si="5"/>
        <v>167.4</v>
      </c>
      <c r="P17" s="261">
        <f t="shared" si="6"/>
        <v>418.5</v>
      </c>
      <c r="Q17" s="261">
        <f t="shared" si="7"/>
        <v>24.659999999999997</v>
      </c>
      <c r="R17" s="261">
        <f t="shared" si="7"/>
        <v>16.439999999999998</v>
      </c>
      <c r="S17" s="261">
        <f t="shared" si="0"/>
        <v>41.100000000000023</v>
      </c>
      <c r="T17" s="1371"/>
      <c r="U17" s="1371"/>
      <c r="V17" s="1371"/>
    </row>
    <row r="18" spans="1:22" s="431" customFormat="1" ht="33" customHeight="1" x14ac:dyDescent="0.3">
      <c r="A18" s="432">
        <v>6</v>
      </c>
      <c r="B18" s="218" t="s">
        <v>652</v>
      </c>
      <c r="C18" s="606">
        <v>3738</v>
      </c>
      <c r="D18" s="649">
        <f>5671-2645</f>
        <v>3026</v>
      </c>
      <c r="E18" s="261">
        <v>224.28</v>
      </c>
      <c r="F18" s="261">
        <v>149.52000000000001</v>
      </c>
      <c r="G18" s="261">
        <f t="shared" si="1"/>
        <v>373.8</v>
      </c>
      <c r="H18" s="261">
        <v>0</v>
      </c>
      <c r="I18" s="261">
        <v>0</v>
      </c>
      <c r="J18" s="261">
        <f t="shared" si="2"/>
        <v>0</v>
      </c>
      <c r="K18" s="261">
        <v>224.28</v>
      </c>
      <c r="L18" s="261">
        <v>149.52000000000001</v>
      </c>
      <c r="M18" s="261">
        <f t="shared" si="3"/>
        <v>373.8</v>
      </c>
      <c r="N18" s="261">
        <f t="shared" si="4"/>
        <v>181.56</v>
      </c>
      <c r="O18" s="261">
        <f t="shared" si="5"/>
        <v>121.04</v>
      </c>
      <c r="P18" s="261">
        <f t="shared" si="6"/>
        <v>302.60000000000002</v>
      </c>
      <c r="Q18" s="261">
        <f t="shared" si="7"/>
        <v>42.72</v>
      </c>
      <c r="R18" s="261">
        <f t="shared" si="7"/>
        <v>28.480000000000004</v>
      </c>
      <c r="S18" s="261">
        <f t="shared" si="0"/>
        <v>71.199999999999989</v>
      </c>
      <c r="T18" s="1371"/>
      <c r="U18" s="1371"/>
      <c r="V18" s="1371"/>
    </row>
    <row r="19" spans="1:22" s="431" customFormat="1" ht="33" customHeight="1" x14ac:dyDescent="0.3">
      <c r="A19" s="432">
        <v>7</v>
      </c>
      <c r="B19" s="218" t="s">
        <v>653</v>
      </c>
      <c r="C19" s="606">
        <v>4952</v>
      </c>
      <c r="D19" s="649">
        <v>4806</v>
      </c>
      <c r="E19" s="261">
        <v>297.12</v>
      </c>
      <c r="F19" s="261">
        <v>198.08</v>
      </c>
      <c r="G19" s="261">
        <f t="shared" si="1"/>
        <v>495.20000000000005</v>
      </c>
      <c r="H19" s="261">
        <v>0</v>
      </c>
      <c r="I19" s="261">
        <v>0</v>
      </c>
      <c r="J19" s="261">
        <f t="shared" si="2"/>
        <v>0</v>
      </c>
      <c r="K19" s="261">
        <v>297.12</v>
      </c>
      <c r="L19" s="261">
        <v>198.08</v>
      </c>
      <c r="M19" s="261">
        <f t="shared" si="3"/>
        <v>495.20000000000005</v>
      </c>
      <c r="N19" s="261">
        <f t="shared" si="4"/>
        <v>288.36</v>
      </c>
      <c r="O19" s="261">
        <f t="shared" si="5"/>
        <v>192.24</v>
      </c>
      <c r="P19" s="261">
        <f t="shared" si="6"/>
        <v>480.6</v>
      </c>
      <c r="Q19" s="261">
        <f t="shared" si="7"/>
        <v>8.7599999999999909</v>
      </c>
      <c r="R19" s="261">
        <f t="shared" si="7"/>
        <v>5.8400000000000034</v>
      </c>
      <c r="S19" s="261">
        <f t="shared" si="0"/>
        <v>14.600000000000023</v>
      </c>
      <c r="T19" s="1371"/>
      <c r="U19" s="1371"/>
      <c r="V19" s="1371"/>
    </row>
    <row r="20" spans="1:22" s="431" customFormat="1" ht="33" customHeight="1" x14ac:dyDescent="0.3">
      <c r="A20" s="432">
        <v>8</v>
      </c>
      <c r="B20" s="218" t="s">
        <v>654</v>
      </c>
      <c r="C20" s="606">
        <v>4725</v>
      </c>
      <c r="D20" s="649">
        <v>4165</v>
      </c>
      <c r="E20" s="261">
        <v>283.5</v>
      </c>
      <c r="F20" s="261">
        <v>189</v>
      </c>
      <c r="G20" s="261">
        <f t="shared" si="1"/>
        <v>472.5</v>
      </c>
      <c r="H20" s="261">
        <v>0</v>
      </c>
      <c r="I20" s="261">
        <v>0</v>
      </c>
      <c r="J20" s="261">
        <f t="shared" si="2"/>
        <v>0</v>
      </c>
      <c r="K20" s="261">
        <v>283.5</v>
      </c>
      <c r="L20" s="261">
        <v>189</v>
      </c>
      <c r="M20" s="261">
        <f t="shared" si="3"/>
        <v>472.5</v>
      </c>
      <c r="N20" s="261">
        <f t="shared" si="4"/>
        <v>249.9</v>
      </c>
      <c r="O20" s="261">
        <f t="shared" si="5"/>
        <v>166.6</v>
      </c>
      <c r="P20" s="261">
        <f t="shared" si="6"/>
        <v>416.5</v>
      </c>
      <c r="Q20" s="261">
        <f t="shared" si="7"/>
        <v>33.599999999999994</v>
      </c>
      <c r="R20" s="261">
        <f t="shared" si="7"/>
        <v>22.400000000000006</v>
      </c>
      <c r="S20" s="261">
        <f t="shared" si="0"/>
        <v>56</v>
      </c>
      <c r="T20" s="1371"/>
      <c r="U20" s="1371"/>
      <c r="V20" s="1371"/>
    </row>
    <row r="21" spans="1:22" s="431" customFormat="1" ht="33" customHeight="1" x14ac:dyDescent="0.3">
      <c r="A21" s="432">
        <v>9</v>
      </c>
      <c r="B21" s="218" t="s">
        <v>655</v>
      </c>
      <c r="C21" s="606">
        <v>4687</v>
      </c>
      <c r="D21" s="649">
        <v>4540</v>
      </c>
      <c r="E21" s="261">
        <v>281.22000000000003</v>
      </c>
      <c r="F21" s="261">
        <v>187.48</v>
      </c>
      <c r="G21" s="261">
        <f t="shared" si="1"/>
        <v>468.70000000000005</v>
      </c>
      <c r="H21" s="261">
        <v>0</v>
      </c>
      <c r="I21" s="261">
        <v>0</v>
      </c>
      <c r="J21" s="261">
        <f t="shared" si="2"/>
        <v>0</v>
      </c>
      <c r="K21" s="261">
        <v>281.22000000000003</v>
      </c>
      <c r="L21" s="261">
        <v>187.48</v>
      </c>
      <c r="M21" s="261">
        <f t="shared" si="3"/>
        <v>468.70000000000005</v>
      </c>
      <c r="N21" s="261">
        <f t="shared" si="4"/>
        <v>272.39999999999998</v>
      </c>
      <c r="O21" s="261">
        <f t="shared" si="5"/>
        <v>181.6</v>
      </c>
      <c r="P21" s="261">
        <f t="shared" si="6"/>
        <v>454</v>
      </c>
      <c r="Q21" s="261">
        <f t="shared" si="7"/>
        <v>8.82000000000005</v>
      </c>
      <c r="R21" s="261">
        <f t="shared" si="7"/>
        <v>5.8799999999999955</v>
      </c>
      <c r="S21" s="261">
        <f t="shared" si="0"/>
        <v>14.700000000000045</v>
      </c>
      <c r="T21" s="1371"/>
      <c r="U21" s="1371"/>
      <c r="V21" s="1371"/>
    </row>
    <row r="22" spans="1:22" s="431" customFormat="1" ht="33" customHeight="1" x14ac:dyDescent="0.3">
      <c r="A22" s="432">
        <v>10</v>
      </c>
      <c r="B22" s="218" t="s">
        <v>656</v>
      </c>
      <c r="C22" s="606">
        <v>6617</v>
      </c>
      <c r="D22" s="649">
        <v>5618</v>
      </c>
      <c r="E22" s="261">
        <v>397.02</v>
      </c>
      <c r="F22" s="261">
        <v>264.68</v>
      </c>
      <c r="G22" s="261">
        <f t="shared" si="1"/>
        <v>661.7</v>
      </c>
      <c r="H22" s="261">
        <v>0</v>
      </c>
      <c r="I22" s="261">
        <v>0</v>
      </c>
      <c r="J22" s="261">
        <f t="shared" si="2"/>
        <v>0</v>
      </c>
      <c r="K22" s="261">
        <v>397.02</v>
      </c>
      <c r="L22" s="261">
        <v>264.68</v>
      </c>
      <c r="M22" s="261">
        <f t="shared" si="3"/>
        <v>661.7</v>
      </c>
      <c r="N22" s="261">
        <f t="shared" si="4"/>
        <v>337.08</v>
      </c>
      <c r="O22" s="261">
        <f t="shared" si="5"/>
        <v>224.72</v>
      </c>
      <c r="P22" s="261">
        <f t="shared" si="6"/>
        <v>561.79999999999995</v>
      </c>
      <c r="Q22" s="261">
        <f t="shared" si="7"/>
        <v>59.94</v>
      </c>
      <c r="R22" s="261">
        <f t="shared" si="7"/>
        <v>39.960000000000008</v>
      </c>
      <c r="S22" s="261">
        <f t="shared" si="0"/>
        <v>99.900000000000091</v>
      </c>
      <c r="T22" s="1371"/>
      <c r="U22" s="1371"/>
      <c r="V22" s="1371"/>
    </row>
    <row r="23" spans="1:22" s="431" customFormat="1" ht="33" customHeight="1" x14ac:dyDescent="0.3">
      <c r="A23" s="432">
        <v>11</v>
      </c>
      <c r="B23" s="218" t="s">
        <v>657</v>
      </c>
      <c r="C23" s="606">
        <v>5280</v>
      </c>
      <c r="D23" s="649">
        <v>4272</v>
      </c>
      <c r="E23" s="261">
        <v>316.8</v>
      </c>
      <c r="F23" s="261">
        <v>211.2</v>
      </c>
      <c r="G23" s="261">
        <f t="shared" si="1"/>
        <v>528</v>
      </c>
      <c r="H23" s="261">
        <v>0</v>
      </c>
      <c r="I23" s="261">
        <v>0</v>
      </c>
      <c r="J23" s="261">
        <f t="shared" si="2"/>
        <v>0</v>
      </c>
      <c r="K23" s="261">
        <v>316.8</v>
      </c>
      <c r="L23" s="261">
        <v>211.2</v>
      </c>
      <c r="M23" s="261">
        <f t="shared" si="3"/>
        <v>528</v>
      </c>
      <c r="N23" s="261">
        <f t="shared" si="4"/>
        <v>256.32</v>
      </c>
      <c r="O23" s="261">
        <f t="shared" si="5"/>
        <v>170.88</v>
      </c>
      <c r="P23" s="261">
        <f t="shared" si="6"/>
        <v>427.2</v>
      </c>
      <c r="Q23" s="261">
        <f t="shared" si="7"/>
        <v>60.480000000000018</v>
      </c>
      <c r="R23" s="261">
        <f t="shared" si="7"/>
        <v>40.319999999999993</v>
      </c>
      <c r="S23" s="261">
        <f t="shared" si="0"/>
        <v>100.80000000000001</v>
      </c>
      <c r="T23" s="1371"/>
      <c r="U23" s="1371"/>
      <c r="V23" s="1371"/>
    </row>
    <row r="24" spans="1:22" s="431" customFormat="1" ht="33" customHeight="1" x14ac:dyDescent="0.3">
      <c r="A24" s="432">
        <v>12</v>
      </c>
      <c r="B24" s="218" t="s">
        <v>658</v>
      </c>
      <c r="C24" s="606">
        <v>4927</v>
      </c>
      <c r="D24" s="649">
        <v>4660</v>
      </c>
      <c r="E24" s="261">
        <v>295.62</v>
      </c>
      <c r="F24" s="261">
        <v>197.08</v>
      </c>
      <c r="G24" s="261">
        <f t="shared" si="1"/>
        <v>492.70000000000005</v>
      </c>
      <c r="H24" s="261">
        <v>0</v>
      </c>
      <c r="I24" s="261">
        <v>0</v>
      </c>
      <c r="J24" s="261">
        <f t="shared" si="2"/>
        <v>0</v>
      </c>
      <c r="K24" s="261">
        <v>295.62</v>
      </c>
      <c r="L24" s="261">
        <v>197.08</v>
      </c>
      <c r="M24" s="261">
        <f t="shared" si="3"/>
        <v>492.70000000000005</v>
      </c>
      <c r="N24" s="261">
        <f t="shared" si="4"/>
        <v>279.60000000000002</v>
      </c>
      <c r="O24" s="261">
        <f t="shared" si="5"/>
        <v>186.4</v>
      </c>
      <c r="P24" s="261">
        <f t="shared" si="6"/>
        <v>466</v>
      </c>
      <c r="Q24" s="261">
        <f t="shared" si="7"/>
        <v>16.019999999999982</v>
      </c>
      <c r="R24" s="261">
        <f t="shared" si="7"/>
        <v>10.680000000000007</v>
      </c>
      <c r="S24" s="261">
        <f t="shared" si="0"/>
        <v>26.700000000000045</v>
      </c>
      <c r="T24" s="1371"/>
      <c r="U24" s="1371"/>
      <c r="V24" s="1371"/>
    </row>
    <row r="25" spans="1:22" s="431" customFormat="1" ht="33" customHeight="1" x14ac:dyDescent="0.3">
      <c r="A25" s="432">
        <v>13</v>
      </c>
      <c r="B25" s="218" t="s">
        <v>659</v>
      </c>
      <c r="C25" s="606">
        <v>5399</v>
      </c>
      <c r="D25" s="649">
        <v>4740</v>
      </c>
      <c r="E25" s="261">
        <v>323.94</v>
      </c>
      <c r="F25" s="261">
        <v>215.96</v>
      </c>
      <c r="G25" s="261">
        <f t="shared" si="1"/>
        <v>539.9</v>
      </c>
      <c r="H25" s="261">
        <v>0</v>
      </c>
      <c r="I25" s="261">
        <v>0</v>
      </c>
      <c r="J25" s="261">
        <f t="shared" si="2"/>
        <v>0</v>
      </c>
      <c r="K25" s="261">
        <v>323.94</v>
      </c>
      <c r="L25" s="261">
        <v>215.96</v>
      </c>
      <c r="M25" s="261">
        <f t="shared" si="3"/>
        <v>539.9</v>
      </c>
      <c r="N25" s="261">
        <f t="shared" si="4"/>
        <v>284.40000000000003</v>
      </c>
      <c r="O25" s="261">
        <f t="shared" si="5"/>
        <v>189.6</v>
      </c>
      <c r="P25" s="261">
        <f t="shared" si="6"/>
        <v>474</v>
      </c>
      <c r="Q25" s="261">
        <f t="shared" si="7"/>
        <v>39.539999999999964</v>
      </c>
      <c r="R25" s="261">
        <f t="shared" si="7"/>
        <v>26.360000000000014</v>
      </c>
      <c r="S25" s="261">
        <f t="shared" si="0"/>
        <v>65.899999999999977</v>
      </c>
      <c r="T25" s="1372"/>
      <c r="U25" s="1372"/>
      <c r="V25" s="1372"/>
    </row>
    <row r="26" spans="1:22" s="435" customFormat="1" ht="33" customHeight="1" x14ac:dyDescent="0.3">
      <c r="A26" s="1373" t="s">
        <v>660</v>
      </c>
      <c r="B26" s="1373"/>
      <c r="C26" s="941">
        <f>SUM(C13:C25)</f>
        <v>64537</v>
      </c>
      <c r="D26" s="433">
        <f>SUM(D13:D25)</f>
        <v>57807</v>
      </c>
      <c r="E26" s="263">
        <f>SUM(E13:E25)</f>
        <v>3872.2200000000003</v>
      </c>
      <c r="F26" s="263">
        <f t="shared" ref="F26:S26" si="8">SUM(F13:F25)</f>
        <v>2581.48</v>
      </c>
      <c r="G26" s="263">
        <f t="shared" si="8"/>
        <v>6453.6999999999989</v>
      </c>
      <c r="H26" s="263">
        <f t="shared" si="8"/>
        <v>0</v>
      </c>
      <c r="I26" s="263">
        <f t="shared" si="8"/>
        <v>0</v>
      </c>
      <c r="J26" s="263">
        <f t="shared" si="8"/>
        <v>0</v>
      </c>
      <c r="K26" s="263">
        <f t="shared" si="8"/>
        <v>3872.2200000000003</v>
      </c>
      <c r="L26" s="263">
        <f t="shared" si="8"/>
        <v>2581.48</v>
      </c>
      <c r="M26" s="263">
        <f t="shared" si="8"/>
        <v>6453.6999999999989</v>
      </c>
      <c r="N26" s="263">
        <f t="shared" si="8"/>
        <v>3468.42</v>
      </c>
      <c r="O26" s="263">
        <f t="shared" si="8"/>
        <v>2312.2799999999997</v>
      </c>
      <c r="P26" s="263">
        <f t="shared" si="8"/>
        <v>5780.7</v>
      </c>
      <c r="Q26" s="263">
        <f t="shared" si="8"/>
        <v>403.79999999999995</v>
      </c>
      <c r="R26" s="263">
        <f t="shared" si="8"/>
        <v>269.20000000000005</v>
      </c>
      <c r="S26" s="263">
        <f t="shared" si="8"/>
        <v>673.00000000000011</v>
      </c>
      <c r="T26" s="433">
        <f t="shared" ref="T26:V26" si="9">SUM(T13:T25)</f>
        <v>0</v>
      </c>
      <c r="U26" s="433">
        <f t="shared" si="9"/>
        <v>0</v>
      </c>
      <c r="V26" s="433">
        <f t="shared" si="9"/>
        <v>0</v>
      </c>
    </row>
    <row r="27" spans="1:22" ht="22.5" customHeight="1" x14ac:dyDescent="0.2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9" spans="1:22" ht="61.5" customHeight="1" x14ac:dyDescent="0.25">
      <c r="A29" s="1374" t="s">
        <v>677</v>
      </c>
      <c r="B29" s="1374"/>
      <c r="C29" s="436"/>
      <c r="D29" s="437"/>
      <c r="E29" s="438"/>
      <c r="F29" s="439"/>
      <c r="G29" s="439"/>
      <c r="H29" s="440"/>
      <c r="I29" s="441"/>
      <c r="R29" s="1284" t="s">
        <v>646</v>
      </c>
      <c r="S29" s="1284"/>
      <c r="T29" s="1284"/>
      <c r="U29" s="1284"/>
      <c r="V29" s="1284"/>
    </row>
  </sheetData>
  <mergeCells count="24">
    <mergeCell ref="T13:T25"/>
    <mergeCell ref="U13:U25"/>
    <mergeCell ref="V13:V25"/>
    <mergeCell ref="A26:B26"/>
    <mergeCell ref="A29:B29"/>
    <mergeCell ref="R29:V29"/>
    <mergeCell ref="V10:V11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T10:T11"/>
    <mergeCell ref="U10:U11"/>
    <mergeCell ref="T8:W8"/>
    <mergeCell ref="Q1:S1"/>
    <mergeCell ref="A3:Q3"/>
    <mergeCell ref="A4:P4"/>
    <mergeCell ref="A5:C5"/>
    <mergeCell ref="A7:S7"/>
  </mergeCells>
  <printOptions horizontalCentered="1"/>
  <pageMargins left="0.72" right="0.2" top="0.5" bottom="0.2" header="0.2" footer="0.2"/>
  <pageSetup paperSize="9" scale="59" orientation="landscape" r:id="rId1"/>
  <headerFooter>
    <oddFooter>&amp;CSheet-77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59999389629810485"/>
    <pageSetUpPr fitToPage="1"/>
  </sheetPr>
  <dimension ref="A1:V29"/>
  <sheetViews>
    <sheetView view="pageBreakPreview" topLeftCell="B14" zoomScale="70" zoomScaleSheetLayoutView="70" workbookViewId="0">
      <selection activeCell="X14" sqref="X1:Z1048576"/>
    </sheetView>
  </sheetViews>
  <sheetFormatPr defaultColWidth="9.140625" defaultRowHeight="13.5" x14ac:dyDescent="0.25"/>
  <cols>
    <col min="1" max="1" width="9.140625" style="163"/>
    <col min="2" max="2" width="16" style="163" customWidth="1"/>
    <col min="3" max="3" width="14.7109375" style="163" customWidth="1"/>
    <col min="4" max="4" width="11.140625" style="424" customWidth="1"/>
    <col min="5" max="5" width="12.42578125" style="163" customWidth="1"/>
    <col min="6" max="6" width="12" style="163" customWidth="1"/>
    <col min="7" max="7" width="13.140625" style="163" customWidth="1"/>
    <col min="8" max="11" width="9.28515625" style="163" bestFit="1" customWidth="1"/>
    <col min="12" max="12" width="9.7109375" style="163" bestFit="1" customWidth="1"/>
    <col min="13" max="15" width="9.28515625" style="163" bestFit="1" customWidth="1"/>
    <col min="16" max="16" width="9.7109375" style="163" bestFit="1" customWidth="1"/>
    <col min="17" max="19" width="9.28515625" style="163" bestFit="1" customWidth="1"/>
    <col min="20" max="20" width="10.42578125" style="163" customWidth="1"/>
    <col min="21" max="21" width="11.140625" style="163" customWidth="1"/>
    <col min="22" max="22" width="11.85546875" style="163" customWidth="1"/>
    <col min="23" max="16384" width="9.140625" style="163"/>
  </cols>
  <sheetData>
    <row r="1" spans="1:22" ht="15.75" x14ac:dyDescent="0.25">
      <c r="Q1" s="1375" t="s">
        <v>189</v>
      </c>
      <c r="R1" s="1375"/>
      <c r="S1" s="1375"/>
    </row>
    <row r="3" spans="1:22" ht="15.75" x14ac:dyDescent="0.25">
      <c r="A3" s="1268" t="s">
        <v>0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8"/>
    </row>
    <row r="4" spans="1:22" ht="20.25" x14ac:dyDescent="0.3">
      <c r="A4" s="1376" t="s">
        <v>793</v>
      </c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  <c r="O4" s="1376"/>
      <c r="P4" s="1376"/>
      <c r="Q4" s="257"/>
    </row>
    <row r="5" spans="1:22" ht="20.25" x14ac:dyDescent="0.3">
      <c r="A5" s="1377" t="s">
        <v>679</v>
      </c>
      <c r="B5" s="1377"/>
      <c r="C5" s="1377"/>
      <c r="D5" s="426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U5" s="258"/>
    </row>
    <row r="6" spans="1:22" ht="16.5" x14ac:dyDescent="0.3">
      <c r="A6" s="265"/>
      <c r="B6" s="265"/>
      <c r="C6" s="265"/>
      <c r="D6" s="426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U6" s="258"/>
    </row>
    <row r="7" spans="1:22" ht="16.5" x14ac:dyDescent="0.3">
      <c r="A7" s="1378" t="s">
        <v>834</v>
      </c>
      <c r="B7" s="1378"/>
      <c r="C7" s="1378"/>
      <c r="D7" s="1378"/>
      <c r="E7" s="1378"/>
      <c r="F7" s="1378"/>
      <c r="G7" s="1378"/>
      <c r="H7" s="1378"/>
      <c r="I7" s="1378"/>
      <c r="J7" s="1378"/>
      <c r="K7" s="1378"/>
      <c r="L7" s="1378"/>
      <c r="M7" s="1378"/>
      <c r="N7" s="1378"/>
      <c r="O7" s="1378"/>
      <c r="P7" s="1378"/>
      <c r="Q7" s="1378"/>
      <c r="R7" s="1378"/>
      <c r="S7" s="1378"/>
    </row>
    <row r="8" spans="1:22" ht="16.5" x14ac:dyDescent="0.3">
      <c r="A8" s="259"/>
      <c r="B8" s="260"/>
      <c r="C8" s="260"/>
      <c r="D8" s="428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T8" s="1267" t="s">
        <v>206</v>
      </c>
      <c r="U8" s="1267"/>
      <c r="V8" s="1267"/>
    </row>
    <row r="9" spans="1:22" ht="29.25" customHeight="1" x14ac:dyDescent="0.25">
      <c r="P9" s="1379" t="s">
        <v>947</v>
      </c>
      <c r="Q9" s="1379"/>
      <c r="R9" s="1379"/>
      <c r="S9" s="1379"/>
    </row>
    <row r="10" spans="1:22" ht="28.5" customHeight="1" x14ac:dyDescent="0.25">
      <c r="A10" s="1380" t="s">
        <v>17</v>
      </c>
      <c r="B10" s="1380" t="s">
        <v>187</v>
      </c>
      <c r="C10" s="1380" t="s">
        <v>354</v>
      </c>
      <c r="D10" s="1382" t="s">
        <v>458</v>
      </c>
      <c r="E10" s="1384" t="s">
        <v>831</v>
      </c>
      <c r="F10" s="1384"/>
      <c r="G10" s="1384"/>
      <c r="H10" s="1385" t="s">
        <v>832</v>
      </c>
      <c r="I10" s="1386"/>
      <c r="J10" s="1387"/>
      <c r="K10" s="1388" t="s">
        <v>356</v>
      </c>
      <c r="L10" s="1389"/>
      <c r="M10" s="1390"/>
      <c r="N10" s="1385" t="s">
        <v>144</v>
      </c>
      <c r="O10" s="1386"/>
      <c r="P10" s="1387"/>
      <c r="Q10" s="1384" t="s">
        <v>833</v>
      </c>
      <c r="R10" s="1384"/>
      <c r="S10" s="1384"/>
      <c r="T10" s="1380" t="s">
        <v>232</v>
      </c>
      <c r="U10" s="1380" t="s">
        <v>409</v>
      </c>
      <c r="V10" s="1380" t="s">
        <v>357</v>
      </c>
    </row>
    <row r="11" spans="1:22" ht="56.25" customHeight="1" x14ac:dyDescent="0.25">
      <c r="A11" s="1381"/>
      <c r="B11" s="1381"/>
      <c r="C11" s="1381"/>
      <c r="D11" s="1383"/>
      <c r="E11" s="266" t="s">
        <v>161</v>
      </c>
      <c r="F11" s="266" t="s">
        <v>188</v>
      </c>
      <c r="G11" s="266" t="s">
        <v>13</v>
      </c>
      <c r="H11" s="266" t="s">
        <v>161</v>
      </c>
      <c r="I11" s="266" t="s">
        <v>188</v>
      </c>
      <c r="J11" s="266" t="s">
        <v>13</v>
      </c>
      <c r="K11" s="266" t="s">
        <v>161</v>
      </c>
      <c r="L11" s="266" t="s">
        <v>188</v>
      </c>
      <c r="M11" s="266" t="s">
        <v>13</v>
      </c>
      <c r="N11" s="266" t="s">
        <v>161</v>
      </c>
      <c r="O11" s="266" t="s">
        <v>188</v>
      </c>
      <c r="P11" s="266" t="s">
        <v>13</v>
      </c>
      <c r="Q11" s="266" t="s">
        <v>215</v>
      </c>
      <c r="R11" s="266" t="s">
        <v>199</v>
      </c>
      <c r="S11" s="266" t="s">
        <v>200</v>
      </c>
      <c r="T11" s="1381"/>
      <c r="U11" s="1381"/>
      <c r="V11" s="1381"/>
    </row>
    <row r="12" spans="1:22" x14ac:dyDescent="0.25">
      <c r="A12" s="266">
        <v>1</v>
      </c>
      <c r="B12" s="266">
        <v>2</v>
      </c>
      <c r="C12" s="266">
        <v>3</v>
      </c>
      <c r="D12" s="650">
        <v>4</v>
      </c>
      <c r="E12" s="266">
        <v>5</v>
      </c>
      <c r="F12" s="266">
        <v>6</v>
      </c>
      <c r="G12" s="266">
        <v>7</v>
      </c>
      <c r="H12" s="266">
        <v>8</v>
      </c>
      <c r="I12" s="266">
        <v>9</v>
      </c>
      <c r="J12" s="266">
        <v>10</v>
      </c>
      <c r="K12" s="266">
        <v>11</v>
      </c>
      <c r="L12" s="266">
        <v>12</v>
      </c>
      <c r="M12" s="266">
        <v>13</v>
      </c>
      <c r="N12" s="266">
        <v>14</v>
      </c>
      <c r="O12" s="266">
        <v>15</v>
      </c>
      <c r="P12" s="266">
        <v>16</v>
      </c>
      <c r="Q12" s="266">
        <v>17</v>
      </c>
      <c r="R12" s="266">
        <v>18</v>
      </c>
      <c r="S12" s="266">
        <v>19</v>
      </c>
      <c r="T12" s="266">
        <v>20</v>
      </c>
      <c r="U12" s="266">
        <v>21</v>
      </c>
      <c r="V12" s="266">
        <v>22</v>
      </c>
    </row>
    <row r="13" spans="1:22" ht="39" customHeight="1" x14ac:dyDescent="0.25">
      <c r="A13" s="172">
        <v>1</v>
      </c>
      <c r="B13" s="173" t="s">
        <v>647</v>
      </c>
      <c r="C13" s="267">
        <v>2182</v>
      </c>
      <c r="D13" s="434">
        <v>2182</v>
      </c>
      <c r="E13" s="268">
        <f>(C13*600*10)/100000</f>
        <v>130.91999999999999</v>
      </c>
      <c r="F13" s="268">
        <f>(C13*400*10)/100000</f>
        <v>87.28</v>
      </c>
      <c r="G13" s="268">
        <f>E13+F13</f>
        <v>218.2</v>
      </c>
      <c r="H13" s="269">
        <v>0</v>
      </c>
      <c r="I13" s="269">
        <v>0</v>
      </c>
      <c r="J13" s="269">
        <f>H13+I13</f>
        <v>0</v>
      </c>
      <c r="K13" s="269">
        <v>130.91999999999999</v>
      </c>
      <c r="L13" s="269">
        <v>87.28</v>
      </c>
      <c r="M13" s="269">
        <f>K13+L13</f>
        <v>218.2</v>
      </c>
      <c r="N13" s="261">
        <f>(D13*10*0.006)</f>
        <v>130.92000000000002</v>
      </c>
      <c r="O13" s="261">
        <f>(D13*10*0.004)</f>
        <v>87.28</v>
      </c>
      <c r="P13" s="261">
        <f>N13+O13</f>
        <v>218.20000000000002</v>
      </c>
      <c r="Q13" s="262">
        <f>(H13+K13-N13)</f>
        <v>-2.8421709430404007E-14</v>
      </c>
      <c r="R13" s="262">
        <f>(I13+L13-O13)</f>
        <v>0</v>
      </c>
      <c r="S13" s="262">
        <f t="shared" ref="S13:S25" si="0">(J13+M13-P13)</f>
        <v>-2.8421709430404007E-14</v>
      </c>
      <c r="T13" s="1391" t="s">
        <v>683</v>
      </c>
      <c r="U13" s="1391" t="s">
        <v>684</v>
      </c>
      <c r="V13" s="1391" t="s">
        <v>684</v>
      </c>
    </row>
    <row r="14" spans="1:22" ht="39" customHeight="1" x14ac:dyDescent="0.25">
      <c r="A14" s="172">
        <v>2</v>
      </c>
      <c r="B14" s="173" t="s">
        <v>648</v>
      </c>
      <c r="C14" s="267">
        <v>1974</v>
      </c>
      <c r="D14" s="434">
        <f>1438+450+55</f>
        <v>1943</v>
      </c>
      <c r="E14" s="268">
        <f t="shared" ref="E14:E25" si="1">(C14*600*10)/100000</f>
        <v>118.44</v>
      </c>
      <c r="F14" s="268">
        <f t="shared" ref="F14:F25" si="2">(C14*400*10)/100000</f>
        <v>78.959999999999994</v>
      </c>
      <c r="G14" s="268">
        <f t="shared" ref="G14:G25" si="3">E14+F14</f>
        <v>197.39999999999998</v>
      </c>
      <c r="H14" s="269">
        <v>0</v>
      </c>
      <c r="I14" s="269">
        <v>0</v>
      </c>
      <c r="J14" s="269">
        <f t="shared" ref="J14:J25" si="4">H14+I14</f>
        <v>0</v>
      </c>
      <c r="K14" s="269">
        <v>118.44</v>
      </c>
      <c r="L14" s="269">
        <v>78.959999999999994</v>
      </c>
      <c r="M14" s="269">
        <f t="shared" ref="M14:M25" si="5">K14+L14</f>
        <v>197.39999999999998</v>
      </c>
      <c r="N14" s="261">
        <f t="shared" ref="N14:N25" si="6">(D14*10*0.006)</f>
        <v>116.58</v>
      </c>
      <c r="O14" s="261">
        <f t="shared" ref="O14:O25" si="7">(D14*10*0.004)</f>
        <v>77.72</v>
      </c>
      <c r="P14" s="261">
        <f t="shared" ref="P14:P25" si="8">N14+O14</f>
        <v>194.3</v>
      </c>
      <c r="Q14" s="262">
        <f t="shared" ref="Q14:R25" si="9">(H14+K14-N14)</f>
        <v>1.8599999999999994</v>
      </c>
      <c r="R14" s="262">
        <f t="shared" si="9"/>
        <v>1.2399999999999949</v>
      </c>
      <c r="S14" s="262">
        <f t="shared" si="0"/>
        <v>3.0999999999999659</v>
      </c>
      <c r="T14" s="1392"/>
      <c r="U14" s="1392"/>
      <c r="V14" s="1392"/>
    </row>
    <row r="15" spans="1:22" ht="39" customHeight="1" x14ac:dyDescent="0.25">
      <c r="A15" s="172">
        <v>3</v>
      </c>
      <c r="B15" s="173" t="s">
        <v>649</v>
      </c>
      <c r="C15" s="267">
        <v>1861</v>
      </c>
      <c r="D15" s="434">
        <f>1728+100</f>
        <v>1828</v>
      </c>
      <c r="E15" s="268">
        <f t="shared" si="1"/>
        <v>111.66</v>
      </c>
      <c r="F15" s="268">
        <f t="shared" si="2"/>
        <v>74.44</v>
      </c>
      <c r="G15" s="268">
        <f t="shared" si="3"/>
        <v>186.1</v>
      </c>
      <c r="H15" s="269">
        <v>0</v>
      </c>
      <c r="I15" s="269">
        <v>0</v>
      </c>
      <c r="J15" s="269">
        <f t="shared" si="4"/>
        <v>0</v>
      </c>
      <c r="K15" s="269">
        <v>111.66</v>
      </c>
      <c r="L15" s="269">
        <v>74.44</v>
      </c>
      <c r="M15" s="269">
        <f t="shared" si="5"/>
        <v>186.1</v>
      </c>
      <c r="N15" s="261">
        <f t="shared" si="6"/>
        <v>109.68</v>
      </c>
      <c r="O15" s="261">
        <f t="shared" si="7"/>
        <v>73.12</v>
      </c>
      <c r="P15" s="261">
        <f t="shared" si="8"/>
        <v>182.8</v>
      </c>
      <c r="Q15" s="262">
        <f t="shared" si="9"/>
        <v>1.9799999999999898</v>
      </c>
      <c r="R15" s="262">
        <f t="shared" si="9"/>
        <v>1.3199999999999932</v>
      </c>
      <c r="S15" s="262">
        <f t="shared" si="0"/>
        <v>3.2999999999999829</v>
      </c>
      <c r="T15" s="1392"/>
      <c r="U15" s="1392"/>
      <c r="V15" s="1392"/>
    </row>
    <row r="16" spans="1:22" ht="39" customHeight="1" x14ac:dyDescent="0.25">
      <c r="A16" s="172">
        <v>4</v>
      </c>
      <c r="B16" s="173" t="s">
        <v>650</v>
      </c>
      <c r="C16" s="267">
        <v>3014</v>
      </c>
      <c r="D16" s="434">
        <f>2153+700+150</f>
        <v>3003</v>
      </c>
      <c r="E16" s="268">
        <f t="shared" si="1"/>
        <v>180.84</v>
      </c>
      <c r="F16" s="268">
        <f t="shared" si="2"/>
        <v>120.56</v>
      </c>
      <c r="G16" s="268">
        <f t="shared" si="3"/>
        <v>301.39999999999998</v>
      </c>
      <c r="H16" s="269">
        <v>0</v>
      </c>
      <c r="I16" s="269">
        <v>0</v>
      </c>
      <c r="J16" s="269">
        <f t="shared" si="4"/>
        <v>0</v>
      </c>
      <c r="K16" s="269">
        <v>180.84</v>
      </c>
      <c r="L16" s="269">
        <v>120.56</v>
      </c>
      <c r="M16" s="269">
        <f t="shared" si="5"/>
        <v>301.39999999999998</v>
      </c>
      <c r="N16" s="261">
        <f t="shared" si="6"/>
        <v>180.18</v>
      </c>
      <c r="O16" s="261">
        <f t="shared" si="7"/>
        <v>120.12</v>
      </c>
      <c r="P16" s="261">
        <f t="shared" si="8"/>
        <v>300.3</v>
      </c>
      <c r="Q16" s="262">
        <f t="shared" si="9"/>
        <v>0.65999999999999659</v>
      </c>
      <c r="R16" s="262">
        <f t="shared" si="9"/>
        <v>0.43999999999999773</v>
      </c>
      <c r="S16" s="262">
        <f t="shared" si="0"/>
        <v>1.0999999999999659</v>
      </c>
      <c r="T16" s="1392"/>
      <c r="U16" s="1392"/>
      <c r="V16" s="1392"/>
    </row>
    <row r="17" spans="1:22" ht="39" customHeight="1" x14ac:dyDescent="0.25">
      <c r="A17" s="172">
        <v>5</v>
      </c>
      <c r="B17" s="173" t="s">
        <v>651</v>
      </c>
      <c r="C17" s="267">
        <v>2329</v>
      </c>
      <c r="D17" s="434">
        <f>2090+200</f>
        <v>2290</v>
      </c>
      <c r="E17" s="268">
        <f t="shared" si="1"/>
        <v>139.74</v>
      </c>
      <c r="F17" s="268">
        <f t="shared" si="2"/>
        <v>93.16</v>
      </c>
      <c r="G17" s="268">
        <f t="shared" si="3"/>
        <v>232.9</v>
      </c>
      <c r="H17" s="269">
        <v>0</v>
      </c>
      <c r="I17" s="269">
        <v>0</v>
      </c>
      <c r="J17" s="269">
        <f t="shared" si="4"/>
        <v>0</v>
      </c>
      <c r="K17" s="269">
        <v>139.74</v>
      </c>
      <c r="L17" s="269">
        <v>93.16</v>
      </c>
      <c r="M17" s="269">
        <f t="shared" si="5"/>
        <v>232.9</v>
      </c>
      <c r="N17" s="261">
        <f t="shared" si="6"/>
        <v>137.4</v>
      </c>
      <c r="O17" s="261">
        <f t="shared" si="7"/>
        <v>91.600000000000009</v>
      </c>
      <c r="P17" s="261">
        <f t="shared" si="8"/>
        <v>229</v>
      </c>
      <c r="Q17" s="262">
        <f t="shared" si="9"/>
        <v>2.3400000000000034</v>
      </c>
      <c r="R17" s="262">
        <f t="shared" si="9"/>
        <v>1.5599999999999881</v>
      </c>
      <c r="S17" s="262">
        <f t="shared" si="0"/>
        <v>3.9000000000000057</v>
      </c>
      <c r="T17" s="1392"/>
      <c r="U17" s="1392"/>
      <c r="V17" s="1392"/>
    </row>
    <row r="18" spans="1:22" ht="39" customHeight="1" x14ac:dyDescent="0.25">
      <c r="A18" s="172">
        <v>6</v>
      </c>
      <c r="B18" s="173" t="s">
        <v>652</v>
      </c>
      <c r="C18" s="267">
        <v>2645</v>
      </c>
      <c r="D18" s="649">
        <f>C18</f>
        <v>2645</v>
      </c>
      <c r="E18" s="268">
        <f>(C18*600*10)/100000</f>
        <v>158.69999999999999</v>
      </c>
      <c r="F18" s="268">
        <f t="shared" si="2"/>
        <v>105.8</v>
      </c>
      <c r="G18" s="268">
        <f t="shared" si="3"/>
        <v>264.5</v>
      </c>
      <c r="H18" s="269">
        <v>0</v>
      </c>
      <c r="I18" s="269">
        <v>0</v>
      </c>
      <c r="J18" s="269">
        <f t="shared" si="4"/>
        <v>0</v>
      </c>
      <c r="K18" s="269">
        <v>158.69999999999999</v>
      </c>
      <c r="L18" s="269">
        <v>105.8</v>
      </c>
      <c r="M18" s="269">
        <f t="shared" si="5"/>
        <v>264.5</v>
      </c>
      <c r="N18" s="261">
        <f t="shared" si="6"/>
        <v>158.70000000000002</v>
      </c>
      <c r="O18" s="261">
        <f t="shared" si="7"/>
        <v>105.8</v>
      </c>
      <c r="P18" s="261">
        <f t="shared" si="8"/>
        <v>264.5</v>
      </c>
      <c r="Q18" s="262">
        <f t="shared" si="9"/>
        <v>-2.8421709430404007E-14</v>
      </c>
      <c r="R18" s="262">
        <f t="shared" si="9"/>
        <v>0</v>
      </c>
      <c r="S18" s="262">
        <f t="shared" si="0"/>
        <v>0</v>
      </c>
      <c r="T18" s="1392"/>
      <c r="U18" s="1392"/>
      <c r="V18" s="1392"/>
    </row>
    <row r="19" spans="1:22" ht="39" customHeight="1" x14ac:dyDescent="0.25">
      <c r="A19" s="172">
        <v>7</v>
      </c>
      <c r="B19" s="173" t="s">
        <v>653</v>
      </c>
      <c r="C19" s="267">
        <v>1965</v>
      </c>
      <c r="D19" s="434">
        <v>1946</v>
      </c>
      <c r="E19" s="268">
        <f t="shared" si="1"/>
        <v>117.9</v>
      </c>
      <c r="F19" s="268">
        <f t="shared" si="2"/>
        <v>78.599999999999994</v>
      </c>
      <c r="G19" s="268">
        <f t="shared" si="3"/>
        <v>196.5</v>
      </c>
      <c r="H19" s="269">
        <v>0</v>
      </c>
      <c r="I19" s="269">
        <v>0</v>
      </c>
      <c r="J19" s="269">
        <f t="shared" si="4"/>
        <v>0</v>
      </c>
      <c r="K19" s="269">
        <v>117.9</v>
      </c>
      <c r="L19" s="269">
        <v>78.599999999999994</v>
      </c>
      <c r="M19" s="269">
        <f t="shared" si="5"/>
        <v>196.5</v>
      </c>
      <c r="N19" s="261">
        <f t="shared" si="6"/>
        <v>116.76</v>
      </c>
      <c r="O19" s="261">
        <f t="shared" si="7"/>
        <v>77.84</v>
      </c>
      <c r="P19" s="261">
        <f t="shared" si="8"/>
        <v>194.60000000000002</v>
      </c>
      <c r="Q19" s="262">
        <f t="shared" si="9"/>
        <v>1.1400000000000006</v>
      </c>
      <c r="R19" s="262">
        <f t="shared" si="9"/>
        <v>0.75999999999999091</v>
      </c>
      <c r="S19" s="262">
        <f t="shared" si="0"/>
        <v>1.8999999999999773</v>
      </c>
      <c r="T19" s="1392"/>
      <c r="U19" s="1392"/>
      <c r="V19" s="1392"/>
    </row>
    <row r="20" spans="1:22" ht="39" customHeight="1" x14ac:dyDescent="0.25">
      <c r="A20" s="172">
        <v>8</v>
      </c>
      <c r="B20" s="173" t="s">
        <v>654</v>
      </c>
      <c r="C20" s="267">
        <v>2027</v>
      </c>
      <c r="D20" s="434">
        <f>1855+15</f>
        <v>1870</v>
      </c>
      <c r="E20" s="268">
        <f t="shared" si="1"/>
        <v>121.62</v>
      </c>
      <c r="F20" s="268">
        <f t="shared" si="2"/>
        <v>81.08</v>
      </c>
      <c r="G20" s="268">
        <f t="shared" si="3"/>
        <v>202.7</v>
      </c>
      <c r="H20" s="269">
        <v>0</v>
      </c>
      <c r="I20" s="269">
        <v>0</v>
      </c>
      <c r="J20" s="269">
        <f t="shared" si="4"/>
        <v>0</v>
      </c>
      <c r="K20" s="269">
        <v>121.62</v>
      </c>
      <c r="L20" s="269">
        <v>81.08</v>
      </c>
      <c r="M20" s="269">
        <f t="shared" si="5"/>
        <v>202.7</v>
      </c>
      <c r="N20" s="261">
        <f t="shared" si="6"/>
        <v>112.2</v>
      </c>
      <c r="O20" s="261">
        <f t="shared" si="7"/>
        <v>74.8</v>
      </c>
      <c r="P20" s="261">
        <f t="shared" si="8"/>
        <v>187</v>
      </c>
      <c r="Q20" s="262">
        <f t="shared" si="9"/>
        <v>9.4200000000000017</v>
      </c>
      <c r="R20" s="262">
        <f t="shared" si="9"/>
        <v>6.2800000000000011</v>
      </c>
      <c r="S20" s="262">
        <f t="shared" si="0"/>
        <v>15.699999999999989</v>
      </c>
      <c r="T20" s="1392"/>
      <c r="U20" s="1392"/>
      <c r="V20" s="1392"/>
    </row>
    <row r="21" spans="1:22" ht="39" customHeight="1" x14ac:dyDescent="0.25">
      <c r="A21" s="172">
        <v>9</v>
      </c>
      <c r="B21" s="173" t="s">
        <v>655</v>
      </c>
      <c r="C21" s="267">
        <v>1941</v>
      </c>
      <c r="D21" s="434">
        <f>1716+199</f>
        <v>1915</v>
      </c>
      <c r="E21" s="268">
        <f t="shared" si="1"/>
        <v>116.46</v>
      </c>
      <c r="F21" s="268">
        <f t="shared" si="2"/>
        <v>77.64</v>
      </c>
      <c r="G21" s="268">
        <f t="shared" si="3"/>
        <v>194.1</v>
      </c>
      <c r="H21" s="269">
        <v>0</v>
      </c>
      <c r="I21" s="269">
        <v>0</v>
      </c>
      <c r="J21" s="269">
        <f t="shared" si="4"/>
        <v>0</v>
      </c>
      <c r="K21" s="269">
        <v>116.46</v>
      </c>
      <c r="L21" s="269">
        <v>77.64</v>
      </c>
      <c r="M21" s="269">
        <f t="shared" si="5"/>
        <v>194.1</v>
      </c>
      <c r="N21" s="261">
        <f t="shared" si="6"/>
        <v>114.9</v>
      </c>
      <c r="O21" s="261">
        <f t="shared" si="7"/>
        <v>76.600000000000009</v>
      </c>
      <c r="P21" s="261">
        <f t="shared" si="8"/>
        <v>191.5</v>
      </c>
      <c r="Q21" s="262">
        <f t="shared" si="9"/>
        <v>1.5599999999999881</v>
      </c>
      <c r="R21" s="262">
        <f t="shared" si="9"/>
        <v>1.039999999999992</v>
      </c>
      <c r="S21" s="262">
        <f t="shared" si="0"/>
        <v>2.5999999999999943</v>
      </c>
      <c r="T21" s="1392"/>
      <c r="U21" s="1392"/>
      <c r="V21" s="1392"/>
    </row>
    <row r="22" spans="1:22" ht="39" customHeight="1" x14ac:dyDescent="0.25">
      <c r="A22" s="172">
        <v>10</v>
      </c>
      <c r="B22" s="173" t="s">
        <v>656</v>
      </c>
      <c r="C22" s="267">
        <v>2680</v>
      </c>
      <c r="D22" s="434">
        <f>2474+200</f>
        <v>2674</v>
      </c>
      <c r="E22" s="268">
        <f t="shared" si="1"/>
        <v>160.80000000000001</v>
      </c>
      <c r="F22" s="268">
        <f t="shared" si="2"/>
        <v>107.2</v>
      </c>
      <c r="G22" s="268">
        <f t="shared" si="3"/>
        <v>268</v>
      </c>
      <c r="H22" s="269">
        <v>0</v>
      </c>
      <c r="I22" s="269">
        <v>0</v>
      </c>
      <c r="J22" s="269">
        <f t="shared" si="4"/>
        <v>0</v>
      </c>
      <c r="K22" s="269">
        <v>160.80000000000001</v>
      </c>
      <c r="L22" s="269">
        <v>107.2</v>
      </c>
      <c r="M22" s="269">
        <f t="shared" si="5"/>
        <v>268</v>
      </c>
      <c r="N22" s="261">
        <f t="shared" si="6"/>
        <v>160.44</v>
      </c>
      <c r="O22" s="261">
        <f t="shared" si="7"/>
        <v>106.96000000000001</v>
      </c>
      <c r="P22" s="261">
        <f t="shared" si="8"/>
        <v>267.39999999999998</v>
      </c>
      <c r="Q22" s="262">
        <f t="shared" si="9"/>
        <v>0.36000000000001364</v>
      </c>
      <c r="R22" s="262">
        <f t="shared" si="9"/>
        <v>0.23999999999999488</v>
      </c>
      <c r="S22" s="262">
        <f t="shared" si="0"/>
        <v>0.60000000000002274</v>
      </c>
      <c r="T22" s="1392"/>
      <c r="U22" s="1392"/>
      <c r="V22" s="1392"/>
    </row>
    <row r="23" spans="1:22" ht="39" customHeight="1" x14ac:dyDescent="0.25">
      <c r="A23" s="172">
        <v>11</v>
      </c>
      <c r="B23" s="173" t="s">
        <v>657</v>
      </c>
      <c r="C23" s="267">
        <v>2118</v>
      </c>
      <c r="D23" s="434">
        <f>1473+590+40</f>
        <v>2103</v>
      </c>
      <c r="E23" s="268">
        <f t="shared" si="1"/>
        <v>127.08</v>
      </c>
      <c r="F23" s="268">
        <f t="shared" si="2"/>
        <v>84.72</v>
      </c>
      <c r="G23" s="268">
        <f t="shared" si="3"/>
        <v>211.8</v>
      </c>
      <c r="H23" s="269">
        <v>0</v>
      </c>
      <c r="I23" s="269">
        <v>0</v>
      </c>
      <c r="J23" s="269">
        <f t="shared" si="4"/>
        <v>0</v>
      </c>
      <c r="K23" s="269">
        <v>127.08</v>
      </c>
      <c r="L23" s="269">
        <v>84.72</v>
      </c>
      <c r="M23" s="269">
        <f t="shared" si="5"/>
        <v>211.8</v>
      </c>
      <c r="N23" s="261">
        <f t="shared" si="6"/>
        <v>126.18</v>
      </c>
      <c r="O23" s="261">
        <f t="shared" si="7"/>
        <v>84.12</v>
      </c>
      <c r="P23" s="261">
        <f t="shared" si="8"/>
        <v>210.3</v>
      </c>
      <c r="Q23" s="262">
        <f t="shared" si="9"/>
        <v>0.89999999999999147</v>
      </c>
      <c r="R23" s="262">
        <f t="shared" si="9"/>
        <v>0.59999999999999432</v>
      </c>
      <c r="S23" s="262">
        <f t="shared" si="0"/>
        <v>1.5</v>
      </c>
      <c r="T23" s="1392"/>
      <c r="U23" s="1392"/>
      <c r="V23" s="1392"/>
    </row>
    <row r="24" spans="1:22" ht="39" customHeight="1" x14ac:dyDescent="0.25">
      <c r="A24" s="172">
        <v>12</v>
      </c>
      <c r="B24" s="173" t="s">
        <v>658</v>
      </c>
      <c r="C24" s="267">
        <v>3104</v>
      </c>
      <c r="D24" s="434">
        <v>2960</v>
      </c>
      <c r="E24" s="268">
        <f t="shared" si="1"/>
        <v>186.24</v>
      </c>
      <c r="F24" s="268">
        <f t="shared" si="2"/>
        <v>124.16</v>
      </c>
      <c r="G24" s="268">
        <f t="shared" si="3"/>
        <v>310.39999999999998</v>
      </c>
      <c r="H24" s="269">
        <v>0</v>
      </c>
      <c r="I24" s="269">
        <v>0</v>
      </c>
      <c r="J24" s="269">
        <f t="shared" si="4"/>
        <v>0</v>
      </c>
      <c r="K24" s="269">
        <v>186.24</v>
      </c>
      <c r="L24" s="269">
        <v>124.16</v>
      </c>
      <c r="M24" s="269">
        <f t="shared" si="5"/>
        <v>310.39999999999998</v>
      </c>
      <c r="N24" s="261">
        <f t="shared" si="6"/>
        <v>177.6</v>
      </c>
      <c r="O24" s="261">
        <f t="shared" si="7"/>
        <v>118.4</v>
      </c>
      <c r="P24" s="261">
        <f t="shared" si="8"/>
        <v>296</v>
      </c>
      <c r="Q24" s="262">
        <f t="shared" si="9"/>
        <v>8.6400000000000148</v>
      </c>
      <c r="R24" s="262">
        <f t="shared" si="9"/>
        <v>5.7599999999999909</v>
      </c>
      <c r="S24" s="262">
        <f t="shared" si="0"/>
        <v>14.399999999999977</v>
      </c>
      <c r="T24" s="1392"/>
      <c r="U24" s="1392"/>
      <c r="V24" s="1392"/>
    </row>
    <row r="25" spans="1:22" ht="39" customHeight="1" x14ac:dyDescent="0.25">
      <c r="A25" s="172">
        <v>13</v>
      </c>
      <c r="B25" s="173" t="s">
        <v>659</v>
      </c>
      <c r="C25" s="267">
        <v>3240</v>
      </c>
      <c r="D25" s="434">
        <f>2280+700+150</f>
        <v>3130</v>
      </c>
      <c r="E25" s="268">
        <f t="shared" si="1"/>
        <v>194.4</v>
      </c>
      <c r="F25" s="268">
        <f t="shared" si="2"/>
        <v>129.6</v>
      </c>
      <c r="G25" s="268">
        <f t="shared" si="3"/>
        <v>324</v>
      </c>
      <c r="H25" s="269">
        <v>0</v>
      </c>
      <c r="I25" s="269">
        <v>0</v>
      </c>
      <c r="J25" s="269">
        <f t="shared" si="4"/>
        <v>0</v>
      </c>
      <c r="K25" s="269">
        <v>194.4</v>
      </c>
      <c r="L25" s="269">
        <v>129.6</v>
      </c>
      <c r="M25" s="269">
        <f t="shared" si="5"/>
        <v>324</v>
      </c>
      <c r="N25" s="261">
        <f t="shared" si="6"/>
        <v>187.8</v>
      </c>
      <c r="O25" s="261">
        <f t="shared" si="7"/>
        <v>125.2</v>
      </c>
      <c r="P25" s="261">
        <f t="shared" si="8"/>
        <v>313</v>
      </c>
      <c r="Q25" s="262">
        <f t="shared" si="9"/>
        <v>6.5999999999999943</v>
      </c>
      <c r="R25" s="262">
        <f t="shared" si="9"/>
        <v>4.3999999999999915</v>
      </c>
      <c r="S25" s="262">
        <f t="shared" si="0"/>
        <v>11</v>
      </c>
      <c r="T25" s="1393"/>
      <c r="U25" s="1393"/>
      <c r="V25" s="1393"/>
    </row>
    <row r="26" spans="1:22" s="264" customFormat="1" ht="39" customHeight="1" x14ac:dyDescent="0.3">
      <c r="A26" s="1274" t="s">
        <v>660</v>
      </c>
      <c r="B26" s="1274"/>
      <c r="C26" s="270">
        <f>SUM(C13:C25)</f>
        <v>31080</v>
      </c>
      <c r="D26" s="270">
        <f>SUM(D13:D25)</f>
        <v>30489</v>
      </c>
      <c r="E26" s="271">
        <f>SUM(E13:E25)</f>
        <v>1864.8</v>
      </c>
      <c r="F26" s="271">
        <f t="shared" ref="F26:S26" si="10">SUM(F13:F25)</f>
        <v>1243.2</v>
      </c>
      <c r="G26" s="271">
        <f t="shared" si="10"/>
        <v>3108.0000000000005</v>
      </c>
      <c r="H26" s="271">
        <f t="shared" si="10"/>
        <v>0</v>
      </c>
      <c r="I26" s="271">
        <f t="shared" si="10"/>
        <v>0</v>
      </c>
      <c r="J26" s="271">
        <f t="shared" si="10"/>
        <v>0</v>
      </c>
      <c r="K26" s="271">
        <f t="shared" si="10"/>
        <v>1864.8</v>
      </c>
      <c r="L26" s="271">
        <f t="shared" si="10"/>
        <v>1243.2</v>
      </c>
      <c r="M26" s="271">
        <f t="shared" si="10"/>
        <v>3108.0000000000005</v>
      </c>
      <c r="N26" s="271">
        <f t="shared" si="10"/>
        <v>1829.3400000000001</v>
      </c>
      <c r="O26" s="271">
        <f t="shared" si="10"/>
        <v>1219.5600000000002</v>
      </c>
      <c r="P26" s="271">
        <f t="shared" si="10"/>
        <v>3048.9</v>
      </c>
      <c r="Q26" s="271">
        <f t="shared" si="10"/>
        <v>35.459999999999937</v>
      </c>
      <c r="R26" s="271">
        <f t="shared" si="10"/>
        <v>23.63999999999993</v>
      </c>
      <c r="S26" s="271">
        <f t="shared" si="10"/>
        <v>59.099999999999852</v>
      </c>
      <c r="T26" s="175">
        <v>0</v>
      </c>
      <c r="U26" s="175">
        <v>0</v>
      </c>
      <c r="V26" s="175">
        <v>0</v>
      </c>
    </row>
    <row r="27" spans="1:22" ht="23.25" customHeight="1" x14ac:dyDescent="0.2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1:22" x14ac:dyDescent="0.25">
      <c r="E28" s="925"/>
      <c r="S28" s="1040"/>
      <c r="U28" s="1040">
        <f>S26+673</f>
        <v>732.09999999999991</v>
      </c>
    </row>
    <row r="29" spans="1:22" ht="72.75" customHeight="1" x14ac:dyDescent="0.25">
      <c r="A29" s="1332" t="s">
        <v>677</v>
      </c>
      <c r="B29" s="1332"/>
      <c r="C29" s="234"/>
      <c r="D29" s="438"/>
      <c r="E29" s="235"/>
      <c r="F29" s="726"/>
      <c r="G29" s="227"/>
      <c r="H29" s="227"/>
      <c r="I29" s="236"/>
      <c r="S29" s="1333" t="s">
        <v>646</v>
      </c>
      <c r="T29" s="1333"/>
      <c r="U29" s="1333"/>
      <c r="V29" s="1333"/>
    </row>
  </sheetData>
  <mergeCells count="25">
    <mergeCell ref="A26:B26"/>
    <mergeCell ref="A29:B29"/>
    <mergeCell ref="S29:V29"/>
    <mergeCell ref="T10:T11"/>
    <mergeCell ref="U10:U11"/>
    <mergeCell ref="V10:V11"/>
    <mergeCell ref="T13:T25"/>
    <mergeCell ref="U13:U25"/>
    <mergeCell ref="V13:V25"/>
    <mergeCell ref="P9:S9"/>
    <mergeCell ref="A10:A11"/>
    <mergeCell ref="B10:B11"/>
    <mergeCell ref="C10:C11"/>
    <mergeCell ref="D10:D11"/>
    <mergeCell ref="E10:G10"/>
    <mergeCell ref="H10:J10"/>
    <mergeCell ref="K10:M10"/>
    <mergeCell ref="N10:P10"/>
    <mergeCell ref="Q10:S10"/>
    <mergeCell ref="T8:V8"/>
    <mergeCell ref="Q1:S1"/>
    <mergeCell ref="A3:Q3"/>
    <mergeCell ref="A4:P4"/>
    <mergeCell ref="A5:C5"/>
    <mergeCell ref="A7:S7"/>
  </mergeCells>
  <printOptions horizontalCentered="1"/>
  <pageMargins left="0.73" right="0.2" top="0.5" bottom="0.2" header="0.2" footer="0.2"/>
  <pageSetup paperSize="9" scale="59" orientation="landscape" r:id="rId1"/>
  <headerFooter>
    <oddFooter>&amp;CSheet-78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5" tint="0.59999389629810485"/>
  </sheetPr>
  <dimension ref="A1:N28"/>
  <sheetViews>
    <sheetView view="pageBreakPreview" topLeftCell="A7" zoomScale="75" zoomScaleSheetLayoutView="75" workbookViewId="0">
      <selection activeCell="C21" sqref="C21"/>
    </sheetView>
  </sheetViews>
  <sheetFormatPr defaultColWidth="9.140625" defaultRowHeight="16.5" x14ac:dyDescent="0.2"/>
  <cols>
    <col min="1" max="1" width="9.140625" style="227"/>
    <col min="2" max="2" width="19.28515625" style="227" customWidth="1"/>
    <col min="3" max="3" width="19.28515625" style="439" customWidth="1"/>
    <col min="4" max="4" width="17.85546875" style="227" customWidth="1"/>
    <col min="5" max="5" width="18.5703125" style="227" customWidth="1"/>
    <col min="6" max="6" width="18.28515625" style="227" customWidth="1"/>
    <col min="7" max="7" width="22.5703125" style="227" customWidth="1"/>
    <col min="8" max="8" width="15.28515625" style="227" customWidth="1"/>
    <col min="9" max="9" width="26.140625" style="227" customWidth="1"/>
    <col min="10" max="16384" width="9.140625" style="227"/>
  </cols>
  <sheetData>
    <row r="1" spans="1:9" x14ac:dyDescent="0.2">
      <c r="I1" s="272" t="s">
        <v>58</v>
      </c>
    </row>
    <row r="2" spans="1:9" x14ac:dyDescent="0.2">
      <c r="D2" s="227" t="s">
        <v>0</v>
      </c>
    </row>
    <row r="3" spans="1:9" x14ac:dyDescent="0.2">
      <c r="B3" s="273"/>
      <c r="C3" s="1394" t="s">
        <v>793</v>
      </c>
      <c r="D3" s="1394"/>
      <c r="E3" s="1394"/>
      <c r="F3" s="911"/>
      <c r="G3" s="274"/>
      <c r="H3" s="274"/>
      <c r="I3" s="274"/>
    </row>
    <row r="4" spans="1:9" ht="10.5" customHeight="1" x14ac:dyDescent="0.2"/>
    <row r="5" spans="1:9" ht="30.75" customHeight="1" x14ac:dyDescent="0.2">
      <c r="A5" s="1395" t="s">
        <v>835</v>
      </c>
      <c r="B5" s="1395"/>
      <c r="C5" s="1395"/>
      <c r="D5" s="1395"/>
      <c r="E5" s="1395"/>
      <c r="F5" s="1395"/>
      <c r="G5" s="1395"/>
      <c r="H5" s="1395"/>
      <c r="I5" s="1395"/>
    </row>
    <row r="7" spans="1:9" ht="0.75" customHeight="1" x14ac:dyDescent="0.2"/>
    <row r="8" spans="1:9" x14ac:dyDescent="0.2">
      <c r="A8" s="1328" t="s">
        <v>661</v>
      </c>
      <c r="B8" s="1328"/>
      <c r="C8" s="1328"/>
      <c r="D8" s="1328"/>
      <c r="I8" s="274" t="s">
        <v>16</v>
      </c>
    </row>
    <row r="9" spans="1:9" x14ac:dyDescent="0.2">
      <c r="D9" s="1396" t="s">
        <v>947</v>
      </c>
      <c r="E9" s="1396"/>
      <c r="F9" s="1396"/>
      <c r="G9" s="1396"/>
      <c r="H9" s="1396"/>
      <c r="I9" s="1396"/>
    </row>
    <row r="10" spans="1:9" ht="44.25" customHeight="1" x14ac:dyDescent="0.2">
      <c r="A10" s="167" t="s">
        <v>2</v>
      </c>
      <c r="B10" s="167" t="s">
        <v>3</v>
      </c>
      <c r="C10" s="1083" t="s">
        <v>831</v>
      </c>
      <c r="D10" s="275" t="s">
        <v>1008</v>
      </c>
      <c r="E10" s="275" t="s">
        <v>106</v>
      </c>
      <c r="F10" s="910" t="s">
        <v>209</v>
      </c>
      <c r="G10" s="275" t="s">
        <v>417</v>
      </c>
      <c r="H10" s="275" t="s">
        <v>144</v>
      </c>
      <c r="I10" s="1082" t="s">
        <v>1009</v>
      </c>
    </row>
    <row r="11" spans="1:9" s="277" customFormat="1" ht="15.75" customHeight="1" x14ac:dyDescent="0.2">
      <c r="A11" s="276">
        <v>1</v>
      </c>
      <c r="B11" s="276">
        <v>2</v>
      </c>
      <c r="C11" s="751">
        <v>3</v>
      </c>
      <c r="D11" s="276">
        <v>4</v>
      </c>
      <c r="E11" s="276">
        <v>5</v>
      </c>
      <c r="F11" s="276">
        <v>6</v>
      </c>
      <c r="G11" s="276">
        <v>7</v>
      </c>
      <c r="H11" s="276">
        <v>8</v>
      </c>
      <c r="I11" s="276">
        <v>9</v>
      </c>
    </row>
    <row r="12" spans="1:9" ht="24" customHeight="1" x14ac:dyDescent="0.2">
      <c r="A12" s="172">
        <v>1</v>
      </c>
      <c r="B12" s="173" t="s">
        <v>647</v>
      </c>
      <c r="C12" s="752">
        <v>29.12097</v>
      </c>
      <c r="D12" s="262">
        <v>0</v>
      </c>
      <c r="E12" s="262">
        <v>28.777968373191573</v>
      </c>
      <c r="F12" s="262">
        <v>0</v>
      </c>
      <c r="G12" s="278">
        <f>750/100000</f>
        <v>7.4999999999999997E-3</v>
      </c>
      <c r="H12" s="262">
        <f>(T6_FG_py_Utlsn!E11+'T6A_FG_Upy_Utlsn '!E12)*750/100000</f>
        <v>28.916572876789807</v>
      </c>
      <c r="I12" s="607">
        <f>(D12+E12-H12)</f>
        <v>-0.13860450359823417</v>
      </c>
    </row>
    <row r="13" spans="1:9" ht="24" customHeight="1" x14ac:dyDescent="0.2">
      <c r="A13" s="172">
        <v>2</v>
      </c>
      <c r="B13" s="173" t="s">
        <v>648</v>
      </c>
      <c r="C13" s="752">
        <v>25.233832374625305</v>
      </c>
      <c r="D13" s="262">
        <v>0</v>
      </c>
      <c r="E13" s="262">
        <v>24.951703662127919</v>
      </c>
      <c r="F13" s="262">
        <v>0</v>
      </c>
      <c r="G13" s="278">
        <f t="shared" ref="G13:G25" si="0">750/100000</f>
        <v>7.4999999999999997E-3</v>
      </c>
      <c r="H13" s="262">
        <f>(T6_FG_py_Utlsn!E12+'T6A_FG_Upy_Utlsn '!E13)*750/100000</f>
        <v>25.111618069231426</v>
      </c>
      <c r="I13" s="607">
        <f t="shared" ref="I13:I24" si="1">(D13+E13-H13)</f>
        <v>-0.15991440710350702</v>
      </c>
    </row>
    <row r="14" spans="1:9" ht="24" customHeight="1" x14ac:dyDescent="0.2">
      <c r="A14" s="172">
        <v>3</v>
      </c>
      <c r="B14" s="173" t="s">
        <v>649</v>
      </c>
      <c r="C14" s="752">
        <v>31.000440000000001</v>
      </c>
      <c r="D14" s="262">
        <v>0</v>
      </c>
      <c r="E14" s="262">
        <v>31.366918092219493</v>
      </c>
      <c r="F14" s="262">
        <v>0</v>
      </c>
      <c r="G14" s="278">
        <f t="shared" si="0"/>
        <v>7.4999999999999997E-3</v>
      </c>
      <c r="H14" s="262">
        <f>(T6_FG_py_Utlsn!E13+'T6A_FG_Upy_Utlsn '!E14)*750/100000</f>
        <v>30.829654501789804</v>
      </c>
      <c r="I14" s="607">
        <f t="shared" si="1"/>
        <v>0.53726359042968852</v>
      </c>
    </row>
    <row r="15" spans="1:9" ht="24" customHeight="1" x14ac:dyDescent="0.2">
      <c r="A15" s="172">
        <v>4</v>
      </c>
      <c r="B15" s="173" t="s">
        <v>650</v>
      </c>
      <c r="C15" s="752">
        <v>39.364627499999997</v>
      </c>
      <c r="D15" s="262">
        <v>0</v>
      </c>
      <c r="E15" s="262">
        <v>38.818419468608759</v>
      </c>
      <c r="F15" s="262">
        <v>0</v>
      </c>
      <c r="G15" s="278">
        <f t="shared" si="0"/>
        <v>7.4999999999999997E-3</v>
      </c>
      <c r="H15" s="262">
        <f>(T6_FG_py_Utlsn!E14+'T6A_FG_Upy_Utlsn '!E15)*750/100000</f>
        <v>38.939092876789807</v>
      </c>
      <c r="I15" s="607">
        <f t="shared" si="1"/>
        <v>-0.1206734081810481</v>
      </c>
    </row>
    <row r="16" spans="1:9" ht="24" customHeight="1" x14ac:dyDescent="0.2">
      <c r="A16" s="172">
        <v>5</v>
      </c>
      <c r="B16" s="173" t="s">
        <v>651</v>
      </c>
      <c r="C16" s="752">
        <v>35.722424250000003</v>
      </c>
      <c r="D16" s="262">
        <v>0</v>
      </c>
      <c r="E16" s="262">
        <v>34.921104771589953</v>
      </c>
      <c r="F16" s="262">
        <v>0</v>
      </c>
      <c r="G16" s="278">
        <f t="shared" si="0"/>
        <v>7.4999999999999997E-3</v>
      </c>
      <c r="H16" s="262">
        <f>(T6_FG_py_Utlsn!E15+'T6A_FG_Upy_Utlsn '!E16)*750/100000</f>
        <v>35.253049923222193</v>
      </c>
      <c r="I16" s="607">
        <f t="shared" si="1"/>
        <v>-0.33194515163224025</v>
      </c>
    </row>
    <row r="17" spans="1:14" ht="24" customHeight="1" x14ac:dyDescent="0.2">
      <c r="A17" s="172">
        <v>6</v>
      </c>
      <c r="B17" s="173" t="s">
        <v>652</v>
      </c>
      <c r="C17" s="752">
        <v>33.614463000000001</v>
      </c>
      <c r="D17" s="262">
        <v>0</v>
      </c>
      <c r="E17" s="262">
        <v>33.94728119255258</v>
      </c>
      <c r="F17" s="262">
        <v>0</v>
      </c>
      <c r="G17" s="278">
        <f t="shared" si="0"/>
        <v>7.4999999999999997E-3</v>
      </c>
      <c r="H17" s="262">
        <f>(T6_FG_py_Utlsn!E16+'T6A_FG_Upy_Utlsn '!E17)*750/100000</f>
        <v>33.382101001789806</v>
      </c>
      <c r="I17" s="607">
        <f t="shared" si="1"/>
        <v>0.56518019076277426</v>
      </c>
    </row>
    <row r="18" spans="1:14" ht="24" customHeight="1" x14ac:dyDescent="0.2">
      <c r="A18" s="172">
        <v>7</v>
      </c>
      <c r="B18" s="173" t="s">
        <v>653</v>
      </c>
      <c r="C18" s="752">
        <v>43.202517000000014</v>
      </c>
      <c r="D18" s="262">
        <v>0</v>
      </c>
      <c r="E18" s="262">
        <v>40.193793745433837</v>
      </c>
      <c r="F18" s="262">
        <v>0</v>
      </c>
      <c r="G18" s="278">
        <f t="shared" si="0"/>
        <v>7.4999999999999997E-3</v>
      </c>
      <c r="H18" s="262">
        <f>(T6_FG_py_Utlsn!E17+'T6A_FG_Upy_Utlsn '!E18)*750/100000</f>
        <v>42.379374751789804</v>
      </c>
      <c r="I18" s="607">
        <f t="shared" si="1"/>
        <v>-2.1855810063559673</v>
      </c>
    </row>
    <row r="19" spans="1:14" ht="24" customHeight="1" x14ac:dyDescent="0.2">
      <c r="A19" s="172">
        <v>8</v>
      </c>
      <c r="B19" s="173" t="s">
        <v>654</v>
      </c>
      <c r="C19" s="752">
        <v>30.360479999999995</v>
      </c>
      <c r="D19" s="262">
        <v>0</v>
      </c>
      <c r="E19" s="262">
        <v>31.000050599356005</v>
      </c>
      <c r="F19" s="262">
        <v>0</v>
      </c>
      <c r="G19" s="278">
        <f t="shared" si="0"/>
        <v>7.4999999999999997E-3</v>
      </c>
      <c r="H19" s="262">
        <f>(T6_FG_py_Utlsn!E18+'T6A_FG_Upy_Utlsn '!E19)*750/100000</f>
        <v>30.229353376789806</v>
      </c>
      <c r="I19" s="607">
        <f t="shared" si="1"/>
        <v>0.77069722256619855</v>
      </c>
    </row>
    <row r="20" spans="1:14" ht="24" customHeight="1" x14ac:dyDescent="0.2">
      <c r="A20" s="172">
        <v>9</v>
      </c>
      <c r="B20" s="173" t="s">
        <v>655</v>
      </c>
      <c r="C20" s="752">
        <v>31.508075250000005</v>
      </c>
      <c r="D20" s="262">
        <v>0</v>
      </c>
      <c r="E20" s="262">
        <v>31.619970796108351</v>
      </c>
      <c r="F20" s="262">
        <v>0</v>
      </c>
      <c r="G20" s="278">
        <f t="shared" si="0"/>
        <v>7.4999999999999997E-3</v>
      </c>
      <c r="H20" s="262">
        <f>(T6_FG_py_Utlsn!E19+'T6A_FG_Upy_Utlsn '!E20)*750/100000</f>
        <v>31.210245751789802</v>
      </c>
      <c r="I20" s="607">
        <f t="shared" si="1"/>
        <v>0.40972504431854873</v>
      </c>
    </row>
    <row r="21" spans="1:14" ht="24" customHeight="1" x14ac:dyDescent="0.2">
      <c r="A21" s="172">
        <v>10</v>
      </c>
      <c r="B21" s="173" t="s">
        <v>656</v>
      </c>
      <c r="C21" s="752">
        <v>38.528752499999996</v>
      </c>
      <c r="D21" s="262">
        <v>0</v>
      </c>
      <c r="E21" s="262">
        <v>38.41417492966189</v>
      </c>
      <c r="F21" s="262">
        <v>0</v>
      </c>
      <c r="G21" s="278">
        <f t="shared" si="0"/>
        <v>7.4999999999999997E-3</v>
      </c>
      <c r="H21" s="262">
        <f>(T6_FG_py_Utlsn!E20+'T6A_FG_Upy_Utlsn '!E21)*750/100000</f>
        <v>38.163651751789807</v>
      </c>
      <c r="I21" s="607">
        <f t="shared" si="1"/>
        <v>0.25052317787208267</v>
      </c>
    </row>
    <row r="22" spans="1:14" ht="24" customHeight="1" x14ac:dyDescent="0.2">
      <c r="A22" s="172">
        <v>11</v>
      </c>
      <c r="B22" s="173" t="s">
        <v>657</v>
      </c>
      <c r="C22" s="752">
        <v>30.521295000000006</v>
      </c>
      <c r="D22" s="262">
        <v>0</v>
      </c>
      <c r="E22" s="262">
        <v>30.547148554471754</v>
      </c>
      <c r="F22" s="262">
        <v>0</v>
      </c>
      <c r="G22" s="278">
        <f t="shared" si="0"/>
        <v>7.4999999999999997E-3</v>
      </c>
      <c r="H22" s="262">
        <f>(T6_FG_py_Utlsn!E21+'T6A_FG_Upy_Utlsn '!E22)*750/100000</f>
        <v>30.325907626789803</v>
      </c>
      <c r="I22" s="607">
        <f t="shared" si="1"/>
        <v>0.22124092768195069</v>
      </c>
    </row>
    <row r="23" spans="1:14" ht="24" customHeight="1" x14ac:dyDescent="0.2">
      <c r="A23" s="172">
        <v>12</v>
      </c>
      <c r="B23" s="173" t="s">
        <v>658</v>
      </c>
      <c r="C23" s="752">
        <v>45.393502499999997</v>
      </c>
      <c r="D23" s="262">
        <v>0</v>
      </c>
      <c r="E23" s="262">
        <v>44.734431384275219</v>
      </c>
      <c r="F23" s="262">
        <v>0</v>
      </c>
      <c r="G23" s="278">
        <f t="shared" si="0"/>
        <v>7.4999999999999997E-3</v>
      </c>
      <c r="H23" s="262">
        <f>(T6_FG_py_Utlsn!E22+'T6A_FG_Upy_Utlsn '!E23)*750/100000</f>
        <v>44.952552751789803</v>
      </c>
      <c r="I23" s="607">
        <f t="shared" si="1"/>
        <v>-0.21812136751458411</v>
      </c>
    </row>
    <row r="24" spans="1:14" ht="24" customHeight="1" x14ac:dyDescent="0.2">
      <c r="A24" s="172">
        <v>13</v>
      </c>
      <c r="B24" s="173" t="s">
        <v>659</v>
      </c>
      <c r="C24" s="752">
        <v>53.401597500000008</v>
      </c>
      <c r="D24" s="262">
        <v>0</v>
      </c>
      <c r="E24" s="279">
        <v>53.116991611300151</v>
      </c>
      <c r="F24" s="262">
        <v>0</v>
      </c>
      <c r="G24" s="278">
        <f t="shared" si="0"/>
        <v>7.4999999999999997E-3</v>
      </c>
      <c r="H24" s="262">
        <f>(T6_FG_py_Utlsn!E23+'T6A_FG_Upy_Utlsn '!E24)*750/100000</f>
        <v>52.718510626789815</v>
      </c>
      <c r="I24" s="607">
        <f t="shared" si="1"/>
        <v>0.39848098451033565</v>
      </c>
    </row>
    <row r="25" spans="1:14" s="228" customFormat="1" ht="24" customHeight="1" x14ac:dyDescent="0.2">
      <c r="A25" s="1275" t="s">
        <v>660</v>
      </c>
      <c r="B25" s="1277"/>
      <c r="C25" s="280">
        <v>466.9730398718047</v>
      </c>
      <c r="D25" s="280">
        <f>SUM(D12:D24)</f>
        <v>0</v>
      </c>
      <c r="E25" s="280">
        <f>SUM(E12:E24)</f>
        <v>462.40995718089749</v>
      </c>
      <c r="F25" s="280">
        <f>SUM(F12:F24)</f>
        <v>0</v>
      </c>
      <c r="G25" s="278">
        <f t="shared" si="0"/>
        <v>7.4999999999999997E-3</v>
      </c>
      <c r="H25" s="263">
        <f>SUM(H12:H24)</f>
        <v>462.41168588714146</v>
      </c>
      <c r="I25" s="638">
        <f>SUM(I12:I24)</f>
        <v>-1.7287062440018985E-3</v>
      </c>
    </row>
    <row r="26" spans="1:14" x14ac:dyDescent="0.2">
      <c r="A26" s="221"/>
      <c r="B26" s="221"/>
      <c r="C26" s="281"/>
      <c r="D26" s="281"/>
      <c r="E26" s="221"/>
      <c r="F26" s="221"/>
      <c r="G26" s="221"/>
      <c r="H26" s="221"/>
      <c r="I26" s="221"/>
      <c r="N26" s="227" t="s">
        <v>8</v>
      </c>
    </row>
    <row r="27" spans="1:14" x14ac:dyDescent="0.2">
      <c r="C27" s="578"/>
      <c r="E27" s="232"/>
      <c r="F27" s="232"/>
      <c r="G27" s="232"/>
      <c r="H27" s="282"/>
      <c r="I27" s="282"/>
    </row>
    <row r="28" spans="1:14" ht="69" customHeight="1" x14ac:dyDescent="0.2">
      <c r="A28" s="1332" t="s">
        <v>677</v>
      </c>
      <c r="B28" s="1332"/>
      <c r="C28" s="578"/>
      <c r="D28" s="235"/>
      <c r="E28" s="235"/>
      <c r="F28" s="235"/>
      <c r="H28" s="1333" t="s">
        <v>646</v>
      </c>
      <c r="I28" s="1333"/>
    </row>
  </sheetData>
  <mergeCells count="7">
    <mergeCell ref="A28:B28"/>
    <mergeCell ref="H28:I28"/>
    <mergeCell ref="C3:E3"/>
    <mergeCell ref="A5:I5"/>
    <mergeCell ref="A8:D8"/>
    <mergeCell ref="D9:I9"/>
    <mergeCell ref="A25:B25"/>
  </mergeCells>
  <printOptions horizontalCentered="1"/>
  <pageMargins left="0.59055118110236227" right="0.11811023622047245" top="0.51181102362204722" bottom="0.23622047244094491" header="0.19685039370078741" footer="0.19685039370078741"/>
  <pageSetup paperSize="9" scale="76" orientation="landscape" r:id="rId1"/>
  <headerFooter>
    <oddFooter>&amp;CSheet-79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5" tint="0.59999389629810485"/>
    <pageSetUpPr fitToPage="1"/>
  </sheetPr>
  <dimension ref="A1:H32"/>
  <sheetViews>
    <sheetView view="pageBreakPreview" topLeftCell="C11" zoomScale="81" zoomScaleSheetLayoutView="81" workbookViewId="0">
      <selection activeCell="N21" sqref="N21"/>
    </sheetView>
  </sheetViews>
  <sheetFormatPr defaultColWidth="9.140625" defaultRowHeight="12.75" x14ac:dyDescent="0.2"/>
  <cols>
    <col min="1" max="1" width="6.7109375" style="11" customWidth="1"/>
    <col min="2" max="2" width="37.28515625" style="11" customWidth="1"/>
    <col min="3" max="3" width="12.28515625" style="11" customWidth="1"/>
    <col min="4" max="5" width="15.140625" style="11" customWidth="1"/>
    <col min="6" max="6" width="15.85546875" style="11" customWidth="1"/>
    <col min="7" max="7" width="12.5703125" style="11" customWidth="1"/>
    <col min="8" max="8" width="23.7109375" style="11" customWidth="1"/>
    <col min="9" max="16384" width="9.140625" style="11"/>
  </cols>
  <sheetData>
    <row r="1" spans="1:8" customFormat="1" ht="15" x14ac:dyDescent="0.2">
      <c r="D1" s="14"/>
      <c r="E1" s="14"/>
      <c r="F1" s="14"/>
      <c r="G1" s="11"/>
      <c r="H1" s="16" t="s">
        <v>59</v>
      </c>
    </row>
    <row r="2" spans="1:8" customFormat="1" ht="15" x14ac:dyDescent="0.2">
      <c r="A2" s="1210" t="s">
        <v>0</v>
      </c>
      <c r="B2" s="1210"/>
      <c r="C2" s="1210"/>
      <c r="D2" s="1210"/>
      <c r="E2" s="1210"/>
      <c r="F2" s="1210"/>
      <c r="G2" s="1210"/>
      <c r="H2" s="1210"/>
    </row>
    <row r="3" spans="1:8" customFormat="1" ht="20.25" x14ac:dyDescent="0.3">
      <c r="A3" s="1202" t="s">
        <v>793</v>
      </c>
      <c r="B3" s="1202"/>
      <c r="C3" s="1202"/>
      <c r="D3" s="1202"/>
      <c r="E3" s="1202"/>
      <c r="F3" s="1202"/>
      <c r="G3" s="1202"/>
      <c r="H3" s="1202"/>
    </row>
    <row r="4" spans="1:8" customFormat="1" ht="10.5" customHeight="1" x14ac:dyDescent="0.2"/>
    <row r="5" spans="1:8" ht="19.5" customHeight="1" x14ac:dyDescent="0.25">
      <c r="A5" s="1211" t="s">
        <v>836</v>
      </c>
      <c r="B5" s="1210"/>
      <c r="C5" s="1210"/>
      <c r="D5" s="1210"/>
      <c r="E5" s="1210"/>
      <c r="F5" s="1210"/>
      <c r="G5" s="1210"/>
      <c r="H5" s="1210"/>
    </row>
    <row r="7" spans="1:8" s="9" customFormat="1" ht="15.75" hidden="1" customHeight="1" x14ac:dyDescent="0.25">
      <c r="A7" s="11"/>
      <c r="B7" s="11"/>
      <c r="C7" s="11"/>
      <c r="D7" s="11"/>
      <c r="E7" s="11"/>
      <c r="F7" s="11"/>
      <c r="G7" s="11"/>
      <c r="H7" s="11"/>
    </row>
    <row r="8" spans="1:8" s="9" customFormat="1" ht="15.75" x14ac:dyDescent="0.25">
      <c r="A8" s="1397" t="s">
        <v>661</v>
      </c>
      <c r="B8" s="1397"/>
      <c r="C8" s="11"/>
      <c r="D8" s="11"/>
      <c r="E8" s="11"/>
      <c r="F8" s="11"/>
      <c r="G8" s="11"/>
      <c r="H8" s="13" t="s">
        <v>20</v>
      </c>
    </row>
    <row r="9" spans="1:8" s="9" customFormat="1" ht="15.75" x14ac:dyDescent="0.25">
      <c r="A9" s="10"/>
      <c r="B9" s="11"/>
      <c r="C9" s="11"/>
      <c r="D9" s="45"/>
      <c r="E9" s="45"/>
      <c r="G9" s="45" t="s">
        <v>947</v>
      </c>
      <c r="H9" s="45"/>
    </row>
    <row r="10" spans="1:8" s="15" customFormat="1" ht="60.75" customHeight="1" x14ac:dyDescent="0.2">
      <c r="A10" s="673"/>
      <c r="B10" s="610" t="s">
        <v>21</v>
      </c>
      <c r="C10" s="610" t="s">
        <v>495</v>
      </c>
      <c r="D10" s="1027" t="s">
        <v>823</v>
      </c>
      <c r="E10" s="610" t="s">
        <v>208</v>
      </c>
      <c r="F10" s="610" t="s">
        <v>209</v>
      </c>
      <c r="G10" s="610" t="s">
        <v>65</v>
      </c>
      <c r="H10" s="777" t="s">
        <v>837</v>
      </c>
    </row>
    <row r="11" spans="1:8" s="15" customFormat="1" ht="14.25" customHeight="1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s="670" customFormat="1" ht="16.5" customHeight="1" x14ac:dyDescent="0.2">
      <c r="A12" s="611" t="s">
        <v>22</v>
      </c>
      <c r="B12" s="119" t="s">
        <v>23</v>
      </c>
      <c r="C12" s="807"/>
      <c r="D12" s="785"/>
      <c r="E12" s="785"/>
      <c r="F12" s="785">
        <v>0</v>
      </c>
      <c r="G12" s="785"/>
      <c r="H12" s="1034">
        <f>D12+E12-G12</f>
        <v>0</v>
      </c>
    </row>
    <row r="13" spans="1:8" s="670" customFormat="1" ht="20.25" customHeight="1" x14ac:dyDescent="0.2">
      <c r="A13" s="287"/>
      <c r="B13" s="309" t="s">
        <v>24</v>
      </c>
      <c r="C13" s="807"/>
      <c r="D13" s="785"/>
      <c r="E13" s="785"/>
      <c r="F13" s="785">
        <v>0</v>
      </c>
      <c r="G13" s="785"/>
      <c r="H13" s="1034">
        <f>D13+E13-G13</f>
        <v>0</v>
      </c>
    </row>
    <row r="14" spans="1:8" s="670" customFormat="1" ht="17.25" customHeight="1" x14ac:dyDescent="0.2">
      <c r="A14" s="287"/>
      <c r="B14" s="309" t="s">
        <v>173</v>
      </c>
      <c r="C14" s="807"/>
      <c r="D14" s="785"/>
      <c r="E14" s="785"/>
      <c r="F14" s="785">
        <v>0</v>
      </c>
      <c r="G14" s="785"/>
      <c r="H14" s="1034">
        <f t="shared" ref="H14" si="0">D14+E14-G14</f>
        <v>0</v>
      </c>
    </row>
    <row r="15" spans="1:8" s="672" customFormat="1" ht="33.75" customHeight="1" x14ac:dyDescent="0.2">
      <c r="A15" s="288"/>
      <c r="B15" s="671" t="s">
        <v>174</v>
      </c>
      <c r="C15" s="807">
        <v>250.81</v>
      </c>
      <c r="D15" s="785">
        <v>109.21000000000004</v>
      </c>
      <c r="E15" s="785">
        <v>153</v>
      </c>
      <c r="F15" s="785">
        <v>0</v>
      </c>
      <c r="G15" s="690">
        <f>153+44+500</f>
        <v>697</v>
      </c>
      <c r="H15" s="1034">
        <f>D15+E15-G15</f>
        <v>-434.78999999999996</v>
      </c>
    </row>
    <row r="16" spans="1:8" s="674" customFormat="1" ht="15.75" x14ac:dyDescent="0.2">
      <c r="A16" s="777"/>
      <c r="B16" s="777" t="s">
        <v>25</v>
      </c>
      <c r="C16" s="753">
        <f>SUM(C13:C15)</f>
        <v>250.81</v>
      </c>
      <c r="D16" s="753">
        <f>SUM(D12:D15)</f>
        <v>109.21000000000004</v>
      </c>
      <c r="E16" s="753">
        <f t="shared" ref="E16:G16" si="1">SUM(E12:E15)</f>
        <v>153</v>
      </c>
      <c r="F16" s="753">
        <f t="shared" si="1"/>
        <v>0</v>
      </c>
      <c r="G16" s="753">
        <f t="shared" si="1"/>
        <v>697</v>
      </c>
      <c r="H16" s="1035">
        <f>SUM(H12:H15)</f>
        <v>-434.78999999999996</v>
      </c>
    </row>
    <row r="17" spans="1:8" s="672" customFormat="1" ht="40.5" customHeight="1" x14ac:dyDescent="0.2">
      <c r="A17" s="612" t="s">
        <v>26</v>
      </c>
      <c r="B17" s="616" t="s">
        <v>207</v>
      </c>
      <c r="C17" s="786"/>
      <c r="D17" s="786"/>
      <c r="E17" s="786"/>
      <c r="F17" s="785"/>
      <c r="G17" s="786"/>
      <c r="H17" s="1036"/>
    </row>
    <row r="18" spans="1:8" s="670" customFormat="1" ht="28.5" customHeight="1" x14ac:dyDescent="0.2">
      <c r="A18" s="544"/>
      <c r="B18" s="689" t="s">
        <v>176</v>
      </c>
      <c r="C18" s="786">
        <v>50</v>
      </c>
      <c r="D18" s="786"/>
      <c r="E18" s="786">
        <v>50</v>
      </c>
      <c r="F18" s="786">
        <v>0</v>
      </c>
      <c r="G18" s="691">
        <f>38.97+5</f>
        <v>43.97</v>
      </c>
      <c r="H18" s="1034">
        <f t="shared" ref="H18:H24" si="2">D18+E18-G18</f>
        <v>6.0300000000000011</v>
      </c>
    </row>
    <row r="19" spans="1:8" s="670" customFormat="1" ht="19.5" customHeight="1" x14ac:dyDescent="0.2">
      <c r="A19" s="544"/>
      <c r="B19" s="689" t="s">
        <v>27</v>
      </c>
      <c r="C19" s="786">
        <v>25</v>
      </c>
      <c r="D19" s="786"/>
      <c r="E19" s="786">
        <v>25</v>
      </c>
      <c r="F19" s="786">
        <v>0</v>
      </c>
      <c r="G19" s="691">
        <f>15.32+3.8</f>
        <v>19.12</v>
      </c>
      <c r="H19" s="1034">
        <f t="shared" si="2"/>
        <v>5.879999999999999</v>
      </c>
    </row>
    <row r="20" spans="1:8" s="675" customFormat="1" ht="18" customHeight="1" x14ac:dyDescent="0.2">
      <c r="A20" s="544"/>
      <c r="B20" s="689" t="s">
        <v>177</v>
      </c>
      <c r="C20" s="786">
        <v>25</v>
      </c>
      <c r="D20" s="786"/>
      <c r="E20" s="786">
        <v>24</v>
      </c>
      <c r="F20" s="786">
        <v>0</v>
      </c>
      <c r="G20" s="691">
        <f>17.41+5</f>
        <v>22.41</v>
      </c>
      <c r="H20" s="1034">
        <f t="shared" si="2"/>
        <v>1.5899999999999999</v>
      </c>
    </row>
    <row r="21" spans="1:8" s="532" customFormat="1" ht="27.75" customHeight="1" x14ac:dyDescent="0.2">
      <c r="A21" s="613"/>
      <c r="B21" s="689" t="s">
        <v>28</v>
      </c>
      <c r="C21" s="786"/>
      <c r="D21" s="786"/>
      <c r="E21" s="786"/>
      <c r="F21" s="786">
        <v>0</v>
      </c>
      <c r="G21" s="691">
        <v>0</v>
      </c>
      <c r="H21" s="1034">
        <f t="shared" si="2"/>
        <v>0</v>
      </c>
    </row>
    <row r="22" spans="1:8" s="672" customFormat="1" ht="19.5" customHeight="1" x14ac:dyDescent="0.2">
      <c r="A22" s="613"/>
      <c r="B22" s="689" t="s">
        <v>175</v>
      </c>
      <c r="C22" s="786"/>
      <c r="D22" s="786"/>
      <c r="E22" s="786"/>
      <c r="F22" s="786">
        <v>0</v>
      </c>
      <c r="G22" s="786">
        <v>0</v>
      </c>
      <c r="H22" s="1034">
        <f t="shared" si="2"/>
        <v>0</v>
      </c>
    </row>
    <row r="23" spans="1:8" s="672" customFormat="1" ht="27.75" customHeight="1" x14ac:dyDescent="0.2">
      <c r="A23" s="613"/>
      <c r="B23" s="689" t="s">
        <v>178</v>
      </c>
      <c r="C23" s="786">
        <v>2</v>
      </c>
      <c r="D23" s="786"/>
      <c r="E23" s="786">
        <v>2</v>
      </c>
      <c r="F23" s="786">
        <v>0</v>
      </c>
      <c r="G23" s="786">
        <v>1.29</v>
      </c>
      <c r="H23" s="1034">
        <f t="shared" si="2"/>
        <v>0.71</v>
      </c>
    </row>
    <row r="24" spans="1:8" s="672" customFormat="1" ht="18.75" customHeight="1" x14ac:dyDescent="0.2">
      <c r="A24" s="612"/>
      <c r="B24" s="689" t="s">
        <v>179</v>
      </c>
      <c r="C24" s="786">
        <f>100+18</f>
        <v>118</v>
      </c>
      <c r="D24" s="786"/>
      <c r="E24" s="786">
        <v>100.88</v>
      </c>
      <c r="F24" s="786"/>
      <c r="G24" s="786">
        <f>234.69-153+2.07</f>
        <v>83.759999999999991</v>
      </c>
      <c r="H24" s="1034">
        <f t="shared" si="2"/>
        <v>17.120000000000005</v>
      </c>
    </row>
    <row r="25" spans="1:8" s="674" customFormat="1" ht="19.5" customHeight="1" x14ac:dyDescent="0.2">
      <c r="A25" s="777"/>
      <c r="B25" s="777" t="s">
        <v>25</v>
      </c>
      <c r="C25" s="753">
        <f>SUM(C18:C24)</f>
        <v>220</v>
      </c>
      <c r="D25" s="753">
        <f t="shared" ref="D25:H25" si="3">SUM(D18:D24)</f>
        <v>0</v>
      </c>
      <c r="E25" s="753">
        <f t="shared" si="3"/>
        <v>201.88</v>
      </c>
      <c r="F25" s="753">
        <f t="shared" si="3"/>
        <v>0</v>
      </c>
      <c r="G25" s="753">
        <f t="shared" si="3"/>
        <v>170.55</v>
      </c>
      <c r="H25" s="1035">
        <f t="shared" si="3"/>
        <v>31.330000000000005</v>
      </c>
    </row>
    <row r="26" spans="1:8" s="808" customFormat="1" ht="23.25" customHeight="1" x14ac:dyDescent="0.2">
      <c r="A26" s="778"/>
      <c r="B26" s="809" t="s">
        <v>29</v>
      </c>
      <c r="C26" s="753">
        <f>C16+C25</f>
        <v>470.81</v>
      </c>
      <c r="D26" s="753">
        <f t="shared" ref="D26:H26" si="4">D16+D25</f>
        <v>109.21000000000004</v>
      </c>
      <c r="E26" s="753">
        <f>E16+E25</f>
        <v>354.88</v>
      </c>
      <c r="F26" s="753">
        <f t="shared" si="4"/>
        <v>0</v>
      </c>
      <c r="G26" s="753">
        <f>G16+G25</f>
        <v>867.55</v>
      </c>
      <c r="H26" s="1035">
        <f t="shared" si="4"/>
        <v>-403.46</v>
      </c>
    </row>
    <row r="27" spans="1:8" s="15" customFormat="1" ht="15.75" customHeight="1" x14ac:dyDescent="0.2">
      <c r="G27" s="1037"/>
    </row>
    <row r="28" spans="1:8" s="15" customFormat="1" ht="77.25" customHeight="1" x14ac:dyDescent="0.2">
      <c r="A28" s="1332" t="s">
        <v>677</v>
      </c>
      <c r="B28" s="1332"/>
      <c r="C28" s="578"/>
      <c r="D28" s="1029"/>
      <c r="E28" s="235"/>
      <c r="F28" s="227"/>
      <c r="G28" s="1333" t="s">
        <v>646</v>
      </c>
      <c r="H28" s="1333"/>
    </row>
    <row r="31" spans="1:8" x14ac:dyDescent="0.2">
      <c r="G31" s="1033"/>
    </row>
    <row r="32" spans="1:8" x14ac:dyDescent="0.2">
      <c r="G32" s="1033"/>
    </row>
  </sheetData>
  <mergeCells count="6">
    <mergeCell ref="A28:B28"/>
    <mergeCell ref="G28:H28"/>
    <mergeCell ref="A2:H2"/>
    <mergeCell ref="A3:H3"/>
    <mergeCell ref="A5:H5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5" tint="0.59999389629810485"/>
  </sheetPr>
  <dimension ref="A1:E26"/>
  <sheetViews>
    <sheetView view="pageBreakPreview" topLeftCell="A7" zoomScale="85" zoomScaleSheetLayoutView="85" workbookViewId="0">
      <selection activeCell="C32" sqref="C32"/>
    </sheetView>
  </sheetViews>
  <sheetFormatPr defaultColWidth="9.140625" defaultRowHeight="12.75" x14ac:dyDescent="0.2"/>
  <cols>
    <col min="1" max="1" width="9.140625" style="11"/>
    <col min="2" max="2" width="19.28515625" style="11" customWidth="1"/>
    <col min="3" max="3" width="28.42578125" style="11" customWidth="1"/>
    <col min="4" max="4" width="27.7109375" style="11" customWidth="1"/>
    <col min="5" max="5" width="30.28515625" style="11" customWidth="1"/>
    <col min="6" max="16384" width="9.140625" style="11"/>
  </cols>
  <sheetData>
    <row r="1" spans="1:5" customFormat="1" ht="15" x14ac:dyDescent="0.2">
      <c r="E1" s="16" t="s">
        <v>492</v>
      </c>
    </row>
    <row r="2" spans="1:5" customFormat="1" ht="15.75" x14ac:dyDescent="0.25">
      <c r="D2" s="47" t="s">
        <v>0</v>
      </c>
      <c r="E2" s="19"/>
    </row>
    <row r="3" spans="1:5" customFormat="1" ht="20.25" x14ac:dyDescent="0.3">
      <c r="B3" s="58"/>
      <c r="C3" s="1202" t="s">
        <v>793</v>
      </c>
      <c r="D3" s="1202"/>
      <c r="E3" s="1202"/>
    </row>
    <row r="4" spans="1:5" ht="19.5" customHeight="1" x14ac:dyDescent="0.2">
      <c r="A4" s="1399" t="s">
        <v>838</v>
      </c>
      <c r="B4" s="1399"/>
      <c r="C4" s="1399"/>
      <c r="D4" s="1399"/>
      <c r="E4" s="1399"/>
    </row>
    <row r="6" spans="1:5" ht="0.75" customHeight="1" x14ac:dyDescent="0.2"/>
    <row r="7" spans="1:5" x14ac:dyDescent="0.2">
      <c r="A7" s="10" t="s">
        <v>661</v>
      </c>
      <c r="D7" s="1403" t="s">
        <v>947</v>
      </c>
      <c r="E7" s="1403"/>
    </row>
    <row r="8" spans="1:5" s="442" customFormat="1" ht="26.25" customHeight="1" x14ac:dyDescent="0.25">
      <c r="A8" s="1404" t="s">
        <v>2</v>
      </c>
      <c r="B8" s="1404" t="s">
        <v>3</v>
      </c>
      <c r="C8" s="1400" t="s">
        <v>488</v>
      </c>
      <c r="D8" s="1401"/>
      <c r="E8" s="1402"/>
    </row>
    <row r="9" spans="1:5" s="442" customFormat="1" ht="62.25" customHeight="1" x14ac:dyDescent="0.25">
      <c r="A9" s="1404"/>
      <c r="B9" s="1404"/>
      <c r="C9" s="614" t="s">
        <v>490</v>
      </c>
      <c r="D9" s="614" t="s">
        <v>491</v>
      </c>
      <c r="E9" s="614" t="s">
        <v>489</v>
      </c>
    </row>
    <row r="10" spans="1:5" s="51" customFormat="1" ht="15.75" customHeight="1" x14ac:dyDescent="0.2">
      <c r="A10" s="581">
        <v>1</v>
      </c>
      <c r="B10" s="582">
        <v>2</v>
      </c>
      <c r="C10" s="581">
        <v>3</v>
      </c>
      <c r="D10" s="582">
        <v>4</v>
      </c>
      <c r="E10" s="581">
        <v>5</v>
      </c>
    </row>
    <row r="11" spans="1:5" s="227" customFormat="1" ht="22.5" customHeight="1" x14ac:dyDescent="0.2">
      <c r="A11" s="300">
        <v>1</v>
      </c>
      <c r="B11" s="173" t="s">
        <v>647</v>
      </c>
      <c r="C11" s="572" t="s">
        <v>7</v>
      </c>
      <c r="D11" s="573" t="s">
        <v>7</v>
      </c>
      <c r="E11" s="287">
        <v>4879</v>
      </c>
    </row>
    <row r="12" spans="1:5" s="227" customFormat="1" ht="22.5" customHeight="1" x14ac:dyDescent="0.2">
      <c r="A12" s="300">
        <v>2</v>
      </c>
      <c r="B12" s="173" t="s">
        <v>648</v>
      </c>
      <c r="C12" s="572" t="s">
        <v>7</v>
      </c>
      <c r="D12" s="572" t="s">
        <v>7</v>
      </c>
      <c r="E12" s="572" t="s">
        <v>7</v>
      </c>
    </row>
    <row r="13" spans="1:5" s="227" customFormat="1" ht="22.5" customHeight="1" x14ac:dyDescent="0.2">
      <c r="A13" s="300">
        <v>3</v>
      </c>
      <c r="B13" s="173" t="s">
        <v>649</v>
      </c>
      <c r="C13" s="572" t="s">
        <v>7</v>
      </c>
      <c r="D13" s="572" t="s">
        <v>7</v>
      </c>
      <c r="E13" s="573">
        <v>32</v>
      </c>
    </row>
    <row r="14" spans="1:5" s="227" customFormat="1" ht="22.5" customHeight="1" x14ac:dyDescent="0.25">
      <c r="A14" s="300">
        <v>4</v>
      </c>
      <c r="B14" s="173" t="s">
        <v>650</v>
      </c>
      <c r="C14" s="580">
        <v>0</v>
      </c>
      <c r="D14" s="580">
        <v>1</v>
      </c>
      <c r="E14" s="580">
        <v>858</v>
      </c>
    </row>
    <row r="15" spans="1:5" s="227" customFormat="1" ht="22.5" customHeight="1" x14ac:dyDescent="0.2">
      <c r="A15" s="300">
        <v>5</v>
      </c>
      <c r="B15" s="173" t="s">
        <v>651</v>
      </c>
      <c r="C15" s="572" t="s">
        <v>7</v>
      </c>
      <c r="D15" s="573">
        <v>1</v>
      </c>
      <c r="E15" s="573">
        <v>3148</v>
      </c>
    </row>
    <row r="16" spans="1:5" s="227" customFormat="1" ht="22.5" customHeight="1" x14ac:dyDescent="0.2">
      <c r="A16" s="300">
        <v>6</v>
      </c>
      <c r="B16" s="173" t="s">
        <v>652</v>
      </c>
      <c r="C16" s="572" t="s">
        <v>7</v>
      </c>
      <c r="D16" s="572" t="s">
        <v>7</v>
      </c>
      <c r="E16" s="573">
        <v>1423</v>
      </c>
    </row>
    <row r="17" spans="1:5" s="227" customFormat="1" ht="22.5" customHeight="1" x14ac:dyDescent="0.2">
      <c r="A17" s="300">
        <v>7</v>
      </c>
      <c r="B17" s="173" t="s">
        <v>653</v>
      </c>
      <c r="C17" s="572" t="s">
        <v>7</v>
      </c>
      <c r="D17" s="572" t="s">
        <v>7</v>
      </c>
      <c r="E17" s="573">
        <v>547</v>
      </c>
    </row>
    <row r="18" spans="1:5" s="227" customFormat="1" ht="22.5" customHeight="1" x14ac:dyDescent="0.2">
      <c r="A18" s="300">
        <v>8</v>
      </c>
      <c r="B18" s="173" t="s">
        <v>654</v>
      </c>
      <c r="C18" s="572">
        <v>3</v>
      </c>
      <c r="D18" s="573" t="s">
        <v>7</v>
      </c>
      <c r="E18" s="573">
        <v>810</v>
      </c>
    </row>
    <row r="19" spans="1:5" s="227" customFormat="1" ht="22.5" customHeight="1" x14ac:dyDescent="0.2">
      <c r="A19" s="300">
        <v>9</v>
      </c>
      <c r="B19" s="173" t="s">
        <v>655</v>
      </c>
      <c r="C19" s="572" t="s">
        <v>7</v>
      </c>
      <c r="D19" s="573" t="s">
        <v>7</v>
      </c>
      <c r="E19" s="573">
        <v>0</v>
      </c>
    </row>
    <row r="20" spans="1:5" s="227" customFormat="1" ht="22.5" customHeight="1" x14ac:dyDescent="0.2">
      <c r="A20" s="300">
        <v>10</v>
      </c>
      <c r="B20" s="173" t="s">
        <v>656</v>
      </c>
      <c r="C20" s="486">
        <v>1</v>
      </c>
      <c r="D20" s="486">
        <v>2</v>
      </c>
      <c r="E20" s="486">
        <v>15</v>
      </c>
    </row>
    <row r="21" spans="1:5" s="227" customFormat="1" ht="22.5" customHeight="1" x14ac:dyDescent="0.2">
      <c r="A21" s="300">
        <v>11</v>
      </c>
      <c r="B21" s="173" t="s">
        <v>657</v>
      </c>
      <c r="C21" s="572" t="s">
        <v>7</v>
      </c>
      <c r="D21" s="573" t="s">
        <v>7</v>
      </c>
      <c r="E21" s="573">
        <v>24</v>
      </c>
    </row>
    <row r="22" spans="1:5" s="227" customFormat="1" ht="22.5" customHeight="1" x14ac:dyDescent="0.2">
      <c r="A22" s="300">
        <v>12</v>
      </c>
      <c r="B22" s="173" t="s">
        <v>658</v>
      </c>
      <c r="C22" s="572" t="s">
        <v>7</v>
      </c>
      <c r="D22" s="573" t="s">
        <v>7</v>
      </c>
      <c r="E22" s="573">
        <v>0</v>
      </c>
    </row>
    <row r="23" spans="1:5" s="227" customFormat="1" ht="22.5" customHeight="1" x14ac:dyDescent="0.2">
      <c r="A23" s="300">
        <v>13</v>
      </c>
      <c r="B23" s="173" t="s">
        <v>659</v>
      </c>
      <c r="C23" s="574" t="s">
        <v>7</v>
      </c>
      <c r="D23" s="573">
        <v>2</v>
      </c>
      <c r="E23" s="575">
        <v>0</v>
      </c>
    </row>
    <row r="24" spans="1:5" s="228" customFormat="1" ht="22.5" customHeight="1" x14ac:dyDescent="0.2">
      <c r="A24" s="1274" t="s">
        <v>660</v>
      </c>
      <c r="B24" s="1274"/>
      <c r="C24" s="1038">
        <f>SUM(C11:C23)</f>
        <v>4</v>
      </c>
      <c r="D24" s="745">
        <f>SUM(D11:D23)</f>
        <v>6</v>
      </c>
      <c r="E24" s="745">
        <f>SUM(E11:E23)</f>
        <v>11736</v>
      </c>
    </row>
    <row r="25" spans="1:5" s="228" customFormat="1" ht="24" customHeight="1" x14ac:dyDescent="0.2">
      <c r="A25" s="576"/>
      <c r="B25" s="576"/>
      <c r="C25" s="579"/>
      <c r="D25" s="577"/>
      <c r="E25" s="577"/>
    </row>
    <row r="26" spans="1:5" s="227" customFormat="1" ht="52.5" customHeight="1" x14ac:dyDescent="0.2">
      <c r="A26" s="1332" t="s">
        <v>677</v>
      </c>
      <c r="B26" s="1332"/>
      <c r="C26" s="578"/>
      <c r="D26" s="1398" t="s">
        <v>646</v>
      </c>
      <c r="E26" s="1398"/>
    </row>
  </sheetData>
  <mergeCells count="9">
    <mergeCell ref="A24:B24"/>
    <mergeCell ref="A26:B26"/>
    <mergeCell ref="D26:E26"/>
    <mergeCell ref="C3:E3"/>
    <mergeCell ref="A4:E4"/>
    <mergeCell ref="C8:E8"/>
    <mergeCell ref="D7:E7"/>
    <mergeCell ref="B8:B9"/>
    <mergeCell ref="A8:A9"/>
  </mergeCells>
  <printOptions horizontalCentered="1"/>
  <pageMargins left="0.70866141732283472" right="7.874015748031496E-2" top="0.23622047244094491" bottom="0.19685039370078741" header="7.874015748031496E-2" footer="7.874015748031496E-2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B2:I13"/>
  <sheetViews>
    <sheetView view="pageBreakPreview" zoomScale="90" zoomScaleSheetLayoutView="90" workbookViewId="0">
      <selection activeCell="C32" sqref="C32"/>
    </sheetView>
  </sheetViews>
  <sheetFormatPr defaultRowHeight="12.75" x14ac:dyDescent="0.2"/>
  <sheetData>
    <row r="2" spans="2:9" x14ac:dyDescent="0.2">
      <c r="B2" s="10"/>
    </row>
    <row r="4" spans="2:9" ht="12.75" customHeight="1" x14ac:dyDescent="0.2">
      <c r="B4" s="1097" t="s">
        <v>792</v>
      </c>
      <c r="C4" s="1097"/>
      <c r="D4" s="1097"/>
      <c r="E4" s="1097"/>
      <c r="F4" s="1097"/>
      <c r="G4" s="1097"/>
      <c r="H4" s="1097"/>
      <c r="I4" s="1097"/>
    </row>
    <row r="5" spans="2:9" ht="12.75" customHeight="1" x14ac:dyDescent="0.2">
      <c r="B5" s="1097"/>
      <c r="C5" s="1097"/>
      <c r="D5" s="1097"/>
      <c r="E5" s="1097"/>
      <c r="F5" s="1097"/>
      <c r="G5" s="1097"/>
      <c r="H5" s="1097"/>
      <c r="I5" s="1097"/>
    </row>
    <row r="6" spans="2:9" ht="12.75" customHeight="1" x14ac:dyDescent="0.2">
      <c r="B6" s="1097"/>
      <c r="C6" s="1097"/>
      <c r="D6" s="1097"/>
      <c r="E6" s="1097"/>
      <c r="F6" s="1097"/>
      <c r="G6" s="1097"/>
      <c r="H6" s="1097"/>
      <c r="I6" s="1097"/>
    </row>
    <row r="7" spans="2:9" ht="12.75" customHeight="1" x14ac:dyDescent="0.2">
      <c r="B7" s="1097"/>
      <c r="C7" s="1097"/>
      <c r="D7" s="1097"/>
      <c r="E7" s="1097"/>
      <c r="F7" s="1097"/>
      <c r="G7" s="1097"/>
      <c r="H7" s="1097"/>
      <c r="I7" s="1097"/>
    </row>
    <row r="8" spans="2:9" ht="12.75" customHeight="1" x14ac:dyDescent="0.2">
      <c r="B8" s="1097"/>
      <c r="C8" s="1097"/>
      <c r="D8" s="1097"/>
      <c r="E8" s="1097"/>
      <c r="F8" s="1097"/>
      <c r="G8" s="1097"/>
      <c r="H8" s="1097"/>
      <c r="I8" s="1097"/>
    </row>
    <row r="9" spans="2:9" ht="12.75" customHeight="1" x14ac:dyDescent="0.2">
      <c r="B9" s="1097"/>
      <c r="C9" s="1097"/>
      <c r="D9" s="1097"/>
      <c r="E9" s="1097"/>
      <c r="F9" s="1097"/>
      <c r="G9" s="1097"/>
      <c r="H9" s="1097"/>
      <c r="I9" s="1097"/>
    </row>
    <row r="10" spans="2:9" ht="12.75" customHeight="1" x14ac:dyDescent="0.2">
      <c r="B10" s="1097"/>
      <c r="C10" s="1097"/>
      <c r="D10" s="1097"/>
      <c r="E10" s="1097"/>
      <c r="F10" s="1097"/>
      <c r="G10" s="1097"/>
      <c r="H10" s="1097"/>
      <c r="I10" s="1097"/>
    </row>
    <row r="11" spans="2:9" ht="12.75" customHeight="1" x14ac:dyDescent="0.2">
      <c r="B11" s="1097"/>
      <c r="C11" s="1097"/>
      <c r="D11" s="1097"/>
      <c r="E11" s="1097"/>
      <c r="F11" s="1097"/>
      <c r="G11" s="1097"/>
      <c r="H11" s="1097"/>
      <c r="I11" s="1097"/>
    </row>
    <row r="12" spans="2:9" ht="12.75" customHeight="1" x14ac:dyDescent="0.2">
      <c r="B12" s="1097"/>
      <c r="C12" s="1097"/>
      <c r="D12" s="1097"/>
      <c r="E12" s="1097"/>
      <c r="F12" s="1097"/>
      <c r="G12" s="1097"/>
      <c r="H12" s="1097"/>
      <c r="I12" s="1097"/>
    </row>
    <row r="13" spans="2:9" ht="12.75" customHeight="1" x14ac:dyDescent="0.2">
      <c r="B13" s="1097"/>
      <c r="C13" s="1097"/>
      <c r="D13" s="1097"/>
      <c r="E13" s="1097"/>
      <c r="F13" s="1097"/>
      <c r="G13" s="1097"/>
      <c r="H13" s="1097"/>
      <c r="I13" s="1097"/>
    </row>
  </sheetData>
  <mergeCells count="1">
    <mergeCell ref="B4:I13"/>
  </mergeCells>
  <printOptions horizontalCentered="1" verticalCentered="1"/>
  <pageMargins left="0.70866141732283472" right="0.70866141732283472" top="0.19685039370078741" bottom="0.19685039370078741" header="0.19685039370078741" footer="0.19685039370078741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5" tint="0.59999389629810485"/>
  </sheetPr>
  <dimension ref="A1:K28"/>
  <sheetViews>
    <sheetView view="pageBreakPreview" zoomScale="80" zoomScaleSheetLayoutView="80" workbookViewId="0"/>
  </sheetViews>
  <sheetFormatPr defaultColWidth="9.140625" defaultRowHeight="13.5" x14ac:dyDescent="0.25"/>
  <cols>
    <col min="1" max="1" width="8.42578125" style="442" customWidth="1"/>
    <col min="2" max="2" width="17.85546875" style="442" customWidth="1"/>
    <col min="3" max="3" width="18.42578125" style="442" customWidth="1"/>
    <col min="4" max="5" width="13.5703125" style="442" customWidth="1"/>
    <col min="6" max="6" width="12.85546875" style="442" customWidth="1"/>
    <col min="7" max="7" width="19.5703125" style="442" customWidth="1"/>
    <col min="8" max="8" width="15.28515625" style="442" customWidth="1"/>
    <col min="9" max="9" width="23" style="442" customWidth="1"/>
    <col min="10" max="10" width="13.28515625" style="442" customWidth="1"/>
    <col min="11" max="16384" width="9.140625" style="442"/>
  </cols>
  <sheetData>
    <row r="1" spans="1:11" ht="15.75" x14ac:dyDescent="0.25">
      <c r="I1" s="1405" t="s">
        <v>549</v>
      </c>
      <c r="J1" s="1405"/>
    </row>
    <row r="2" spans="1:11" ht="16.5" x14ac:dyDescent="0.3">
      <c r="C2" s="1406" t="s">
        <v>0</v>
      </c>
      <c r="D2" s="1406"/>
      <c r="E2" s="1406"/>
      <c r="F2" s="1406"/>
      <c r="G2" s="1406"/>
      <c r="H2" s="1406"/>
      <c r="I2" s="882"/>
      <c r="J2" s="443"/>
      <c r="K2" s="443"/>
    </row>
    <row r="3" spans="1:11" ht="20.25" x14ac:dyDescent="0.3">
      <c r="B3" s="1407" t="s">
        <v>793</v>
      </c>
      <c r="C3" s="1407"/>
      <c r="D3" s="1407"/>
      <c r="E3" s="1407"/>
      <c r="F3" s="1407"/>
      <c r="G3" s="1407"/>
      <c r="H3" s="1407"/>
      <c r="I3" s="444"/>
      <c r="J3" s="444"/>
      <c r="K3" s="444"/>
    </row>
    <row r="4" spans="1:11" ht="20.25" customHeight="1" x14ac:dyDescent="0.25">
      <c r="C4" s="1408" t="s">
        <v>839</v>
      </c>
      <c r="D4" s="1408"/>
      <c r="E4" s="1408"/>
      <c r="F4" s="1408"/>
      <c r="G4" s="1408"/>
      <c r="H4" s="1408"/>
      <c r="I4" s="1408"/>
    </row>
    <row r="5" spans="1:11" ht="20.25" customHeight="1" x14ac:dyDescent="0.3">
      <c r="A5" s="446" t="s">
        <v>665</v>
      </c>
      <c r="C5" s="447"/>
      <c r="D5" s="447"/>
      <c r="E5" s="447"/>
      <c r="F5" s="447"/>
      <c r="G5" s="447"/>
      <c r="H5" s="447"/>
      <c r="I5" s="1409" t="s">
        <v>686</v>
      </c>
      <c r="J5" s="1409"/>
    </row>
    <row r="6" spans="1:11" s="448" customFormat="1" ht="15" customHeight="1" x14ac:dyDescent="0.2">
      <c r="A6" s="1410" t="s">
        <v>66</v>
      </c>
      <c r="B6" s="1410" t="s">
        <v>30</v>
      </c>
      <c r="C6" s="1410" t="s">
        <v>395</v>
      </c>
      <c r="D6" s="1410" t="s">
        <v>375</v>
      </c>
      <c r="E6" s="1411" t="s">
        <v>439</v>
      </c>
      <c r="F6" s="1410" t="s">
        <v>374</v>
      </c>
      <c r="G6" s="1410"/>
      <c r="H6" s="1410"/>
      <c r="I6" s="1410" t="s">
        <v>399</v>
      </c>
      <c r="J6" s="1411" t="s">
        <v>400</v>
      </c>
    </row>
    <row r="7" spans="1:11" s="448" customFormat="1" ht="12.75" customHeight="1" x14ac:dyDescent="0.2">
      <c r="A7" s="1410"/>
      <c r="B7" s="1410"/>
      <c r="C7" s="1410"/>
      <c r="D7" s="1410"/>
      <c r="E7" s="1412"/>
      <c r="F7" s="1410" t="s">
        <v>396</v>
      </c>
      <c r="G7" s="1410" t="s">
        <v>397</v>
      </c>
      <c r="H7" s="1410" t="s">
        <v>398</v>
      </c>
      <c r="I7" s="1410"/>
      <c r="J7" s="1412"/>
    </row>
    <row r="8" spans="1:11" s="448" customFormat="1" ht="20.25" customHeight="1" x14ac:dyDescent="0.2">
      <c r="A8" s="1410"/>
      <c r="B8" s="1410"/>
      <c r="C8" s="1410"/>
      <c r="D8" s="1410"/>
      <c r="E8" s="1412"/>
      <c r="F8" s="1410"/>
      <c r="G8" s="1410"/>
      <c r="H8" s="1410"/>
      <c r="I8" s="1410"/>
      <c r="J8" s="1412"/>
    </row>
    <row r="9" spans="1:11" s="448" customFormat="1" ht="48" customHeight="1" x14ac:dyDescent="0.2">
      <c r="A9" s="1410"/>
      <c r="B9" s="1410"/>
      <c r="C9" s="1410"/>
      <c r="D9" s="1410"/>
      <c r="E9" s="1413"/>
      <c r="F9" s="1410"/>
      <c r="G9" s="1410"/>
      <c r="H9" s="1410"/>
      <c r="I9" s="1410"/>
      <c r="J9" s="1413"/>
    </row>
    <row r="10" spans="1:11" ht="15" x14ac:dyDescent="0.25">
      <c r="A10" s="449">
        <v>1</v>
      </c>
      <c r="B10" s="449">
        <v>2</v>
      </c>
      <c r="C10" s="450">
        <v>3</v>
      </c>
      <c r="D10" s="449">
        <v>4</v>
      </c>
      <c r="E10" s="450">
        <v>5</v>
      </c>
      <c r="F10" s="449">
        <v>6</v>
      </c>
      <c r="G10" s="450">
        <v>7</v>
      </c>
      <c r="H10" s="449">
        <v>8</v>
      </c>
      <c r="I10" s="450">
        <v>9</v>
      </c>
      <c r="J10" s="449">
        <v>10</v>
      </c>
    </row>
    <row r="11" spans="1:11" s="451" customFormat="1" ht="27" customHeight="1" x14ac:dyDescent="0.3">
      <c r="A11" s="877">
        <v>1</v>
      </c>
      <c r="B11" s="111" t="s">
        <v>647</v>
      </c>
      <c r="C11" s="878" t="s">
        <v>970</v>
      </c>
      <c r="D11" s="878">
        <v>6</v>
      </c>
      <c r="E11" s="1003">
        <v>1.98</v>
      </c>
      <c r="F11" s="878" t="s">
        <v>966</v>
      </c>
      <c r="G11" s="878"/>
      <c r="H11" s="878" t="s">
        <v>971</v>
      </c>
      <c r="I11" s="1001"/>
      <c r="J11" s="1000">
        <v>1.98</v>
      </c>
    </row>
    <row r="12" spans="1:11" s="451" customFormat="1" ht="27" customHeight="1" x14ac:dyDescent="0.3">
      <c r="A12" s="877">
        <v>2</v>
      </c>
      <c r="B12" s="111" t="s">
        <v>648</v>
      </c>
      <c r="C12" s="878" t="s">
        <v>970</v>
      </c>
      <c r="D12" s="878">
        <v>6</v>
      </c>
      <c r="E12" s="1003">
        <v>1.98</v>
      </c>
      <c r="F12" s="878" t="s">
        <v>966</v>
      </c>
      <c r="G12" s="878"/>
      <c r="H12" s="878" t="s">
        <v>971</v>
      </c>
      <c r="I12" s="1001"/>
      <c r="J12" s="1000">
        <v>1.98</v>
      </c>
    </row>
    <row r="13" spans="1:11" s="451" customFormat="1" ht="27" customHeight="1" x14ac:dyDescent="0.3">
      <c r="A13" s="877">
        <v>3</v>
      </c>
      <c r="B13" s="111" t="s">
        <v>649</v>
      </c>
      <c r="C13" s="878" t="s">
        <v>970</v>
      </c>
      <c r="D13" s="878">
        <v>6</v>
      </c>
      <c r="E13" s="1003">
        <v>1.98</v>
      </c>
      <c r="F13" s="878" t="s">
        <v>966</v>
      </c>
      <c r="G13" s="878"/>
      <c r="H13" s="878" t="s">
        <v>971</v>
      </c>
      <c r="I13" s="1001"/>
      <c r="J13" s="1000">
        <v>1.98</v>
      </c>
    </row>
    <row r="14" spans="1:11" s="451" customFormat="1" ht="27" customHeight="1" x14ac:dyDescent="0.3">
      <c r="A14" s="877">
        <v>4</v>
      </c>
      <c r="B14" s="111" t="s">
        <v>650</v>
      </c>
      <c r="C14" s="878" t="s">
        <v>970</v>
      </c>
      <c r="D14" s="878">
        <v>3</v>
      </c>
      <c r="E14" s="1003">
        <v>0.99</v>
      </c>
      <c r="F14" s="878" t="s">
        <v>966</v>
      </c>
      <c r="G14" s="878"/>
      <c r="H14" s="878" t="s">
        <v>971</v>
      </c>
      <c r="I14" s="1005" t="s">
        <v>972</v>
      </c>
      <c r="J14" s="1000">
        <v>0.99</v>
      </c>
    </row>
    <row r="15" spans="1:11" s="451" customFormat="1" ht="27" customHeight="1" x14ac:dyDescent="0.3">
      <c r="A15" s="877">
        <v>5</v>
      </c>
      <c r="B15" s="111" t="s">
        <v>651</v>
      </c>
      <c r="C15" s="878" t="s">
        <v>970</v>
      </c>
      <c r="D15" s="878">
        <v>6</v>
      </c>
      <c r="E15" s="1003">
        <v>1.98</v>
      </c>
      <c r="F15" s="878" t="s">
        <v>966</v>
      </c>
      <c r="G15" s="878"/>
      <c r="H15" s="878" t="s">
        <v>971</v>
      </c>
      <c r="I15" s="1001"/>
      <c r="J15" s="1000">
        <v>1.98</v>
      </c>
    </row>
    <row r="16" spans="1:11" s="451" customFormat="1" ht="27" customHeight="1" x14ac:dyDescent="0.3">
      <c r="A16" s="877">
        <v>6</v>
      </c>
      <c r="B16" s="111" t="s">
        <v>652</v>
      </c>
      <c r="C16" s="878" t="s">
        <v>970</v>
      </c>
      <c r="D16" s="878">
        <v>3</v>
      </c>
      <c r="E16" s="1003">
        <v>0.99</v>
      </c>
      <c r="F16" s="878" t="s">
        <v>966</v>
      </c>
      <c r="G16" s="878"/>
      <c r="H16" s="878" t="s">
        <v>971</v>
      </c>
      <c r="I16" s="1005" t="s">
        <v>972</v>
      </c>
      <c r="J16" s="1000">
        <v>0.99</v>
      </c>
    </row>
    <row r="17" spans="1:10" s="451" customFormat="1" ht="27" customHeight="1" x14ac:dyDescent="0.3">
      <c r="A17" s="877">
        <v>7</v>
      </c>
      <c r="B17" s="111" t="s">
        <v>653</v>
      </c>
      <c r="C17" s="878" t="s">
        <v>970</v>
      </c>
      <c r="D17" s="878">
        <v>6</v>
      </c>
      <c r="E17" s="1003">
        <v>1.98</v>
      </c>
      <c r="F17" s="878" t="s">
        <v>966</v>
      </c>
      <c r="G17" s="878"/>
      <c r="H17" s="878" t="s">
        <v>971</v>
      </c>
      <c r="I17" s="1005"/>
      <c r="J17" s="1000">
        <v>1.98</v>
      </c>
    </row>
    <row r="18" spans="1:10" s="451" customFormat="1" ht="27" customHeight="1" x14ac:dyDescent="0.3">
      <c r="A18" s="877">
        <v>8</v>
      </c>
      <c r="B18" s="111" t="s">
        <v>654</v>
      </c>
      <c r="C18" s="878" t="s">
        <v>970</v>
      </c>
      <c r="D18" s="878">
        <v>6</v>
      </c>
      <c r="E18" s="1003">
        <v>1.98</v>
      </c>
      <c r="F18" s="878" t="s">
        <v>966</v>
      </c>
      <c r="G18" s="878"/>
      <c r="H18" s="878" t="s">
        <v>971</v>
      </c>
      <c r="I18" s="1005"/>
      <c r="J18" s="1000">
        <v>1.98</v>
      </c>
    </row>
    <row r="19" spans="1:10" s="451" customFormat="1" ht="27" customHeight="1" x14ac:dyDescent="0.3">
      <c r="A19" s="877">
        <v>9</v>
      </c>
      <c r="B19" s="111" t="s">
        <v>655</v>
      </c>
      <c r="C19" s="878" t="s">
        <v>970</v>
      </c>
      <c r="D19" s="878">
        <v>3</v>
      </c>
      <c r="E19" s="1003">
        <v>0.99</v>
      </c>
      <c r="F19" s="878" t="s">
        <v>966</v>
      </c>
      <c r="G19" s="878"/>
      <c r="H19" s="878" t="s">
        <v>971</v>
      </c>
      <c r="I19" s="1005" t="s">
        <v>972</v>
      </c>
      <c r="J19" s="1000">
        <v>0.99</v>
      </c>
    </row>
    <row r="20" spans="1:10" s="451" customFormat="1" ht="27" customHeight="1" x14ac:dyDescent="0.3">
      <c r="A20" s="877">
        <v>10</v>
      </c>
      <c r="B20" s="111" t="s">
        <v>656</v>
      </c>
      <c r="C20" s="878" t="s">
        <v>970</v>
      </c>
      <c r="D20" s="878">
        <v>40</v>
      </c>
      <c r="E20" s="1003">
        <v>0</v>
      </c>
      <c r="F20" s="878" t="s">
        <v>966</v>
      </c>
      <c r="G20" s="878"/>
      <c r="H20" s="878" t="s">
        <v>971</v>
      </c>
      <c r="I20" s="1005"/>
      <c r="J20" s="1000">
        <v>0</v>
      </c>
    </row>
    <row r="21" spans="1:10" s="451" customFormat="1" ht="27" customHeight="1" x14ac:dyDescent="0.3">
      <c r="A21" s="877">
        <v>11</v>
      </c>
      <c r="B21" s="111" t="s">
        <v>657</v>
      </c>
      <c r="C21" s="878" t="s">
        <v>970</v>
      </c>
      <c r="D21" s="878">
        <v>6</v>
      </c>
      <c r="E21" s="1003">
        <v>1.98</v>
      </c>
      <c r="F21" s="878" t="s">
        <v>966</v>
      </c>
      <c r="G21" s="878"/>
      <c r="H21" s="878" t="s">
        <v>971</v>
      </c>
      <c r="I21" s="1005"/>
      <c r="J21" s="1000">
        <v>1.98</v>
      </c>
    </row>
    <row r="22" spans="1:10" s="451" customFormat="1" ht="27" customHeight="1" x14ac:dyDescent="0.3">
      <c r="A22" s="877">
        <v>12</v>
      </c>
      <c r="B22" s="111" t="s">
        <v>658</v>
      </c>
      <c r="C22" s="878" t="s">
        <v>970</v>
      </c>
      <c r="D22" s="878">
        <v>3</v>
      </c>
      <c r="E22" s="1003">
        <v>0.99</v>
      </c>
      <c r="F22" s="878" t="s">
        <v>966</v>
      </c>
      <c r="G22" s="878"/>
      <c r="H22" s="878" t="s">
        <v>971</v>
      </c>
      <c r="I22" s="1005" t="s">
        <v>972</v>
      </c>
      <c r="J22" s="1000">
        <v>0.99</v>
      </c>
    </row>
    <row r="23" spans="1:10" s="451" customFormat="1" ht="27" customHeight="1" x14ac:dyDescent="0.3">
      <c r="A23" s="877">
        <v>13</v>
      </c>
      <c r="B23" s="111" t="s">
        <v>659</v>
      </c>
      <c r="C23" s="878" t="s">
        <v>970</v>
      </c>
      <c r="D23" s="878">
        <v>6</v>
      </c>
      <c r="E23" s="1003">
        <v>1.98</v>
      </c>
      <c r="F23" s="878" t="s">
        <v>966</v>
      </c>
      <c r="G23" s="878"/>
      <c r="H23" s="878" t="s">
        <v>971</v>
      </c>
      <c r="I23" s="1005"/>
      <c r="J23" s="1000">
        <v>1.98</v>
      </c>
    </row>
    <row r="24" spans="1:10" s="452" customFormat="1" ht="27" customHeight="1" x14ac:dyDescent="0.25">
      <c r="A24" s="1108" t="s">
        <v>660</v>
      </c>
      <c r="B24" s="1109"/>
      <c r="C24" s="966" t="s">
        <v>970</v>
      </c>
      <c r="D24" s="966">
        <f>SUM(D11:D23)</f>
        <v>100</v>
      </c>
      <c r="E24" s="1004">
        <f>SUM(E11:E23)</f>
        <v>19.8</v>
      </c>
      <c r="F24" s="966" t="s">
        <v>7</v>
      </c>
      <c r="G24" s="966" t="s">
        <v>7</v>
      </c>
      <c r="H24" s="966" t="s">
        <v>7</v>
      </c>
      <c r="I24" s="966" t="s">
        <v>7</v>
      </c>
      <c r="J24" s="1004">
        <f>SUM(J11:J23)</f>
        <v>19.8</v>
      </c>
    </row>
    <row r="25" spans="1:10" ht="14.25" x14ac:dyDescent="0.3">
      <c r="A25" s="453" t="s">
        <v>256</v>
      </c>
    </row>
    <row r="28" spans="1:10" s="454" customFormat="1" ht="63" customHeight="1" x14ac:dyDescent="0.25">
      <c r="A28" s="1104" t="s">
        <v>9</v>
      </c>
      <c r="B28" s="1104"/>
      <c r="C28" s="1104"/>
      <c r="D28" s="1104"/>
      <c r="E28" s="98"/>
      <c r="G28" s="98"/>
      <c r="H28" s="1104" t="s">
        <v>646</v>
      </c>
      <c r="I28" s="1104"/>
      <c r="J28" s="1104"/>
    </row>
  </sheetData>
  <mergeCells count="19">
    <mergeCell ref="A24:B24"/>
    <mergeCell ref="A28:D28"/>
    <mergeCell ref="H28:J28"/>
    <mergeCell ref="F6:H6"/>
    <mergeCell ref="I6:I9"/>
    <mergeCell ref="J6:J9"/>
    <mergeCell ref="F7:F9"/>
    <mergeCell ref="G7:G9"/>
    <mergeCell ref="H7:H9"/>
    <mergeCell ref="A6:A9"/>
    <mergeCell ref="B6:B9"/>
    <mergeCell ref="C6:C9"/>
    <mergeCell ref="D6:D9"/>
    <mergeCell ref="E6:E9"/>
    <mergeCell ref="I1:J1"/>
    <mergeCell ref="C2:H2"/>
    <mergeCell ref="B3:H3"/>
    <mergeCell ref="C4:I4"/>
    <mergeCell ref="I5:J5"/>
  </mergeCells>
  <printOptions horizontalCentered="1"/>
  <pageMargins left="0.70866141732283472" right="7.874015748031496E-2" top="0.23622047244094491" bottom="0" header="7.874015748031496E-2" footer="7.874015748031496E-2"/>
  <pageSetup paperSize="9"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5" tint="0.59999389629810485"/>
    <pageSetUpPr fitToPage="1"/>
  </sheetPr>
  <dimension ref="A1:K24"/>
  <sheetViews>
    <sheetView view="pageBreakPreview" topLeftCell="A6" zoomScale="85" zoomScaleSheetLayoutView="85" workbookViewId="0">
      <selection activeCell="M14" sqref="M14"/>
    </sheetView>
  </sheetViews>
  <sheetFormatPr defaultRowHeight="12.75" x14ac:dyDescent="0.2"/>
  <cols>
    <col min="2" max="2" width="16.28515625" customWidth="1"/>
    <col min="3" max="3" width="10.42578125" customWidth="1"/>
    <col min="4" max="4" width="7.5703125" customWidth="1"/>
    <col min="6" max="6" width="8.28515625" customWidth="1"/>
    <col min="7" max="7" width="8.140625" customWidth="1"/>
    <col min="8" max="8" width="7" customWidth="1"/>
    <col min="9" max="9" width="20.28515625" customWidth="1"/>
    <col min="10" max="10" width="17.140625" customWidth="1"/>
    <col min="11" max="11" width="16.42578125" customWidth="1"/>
  </cols>
  <sheetData>
    <row r="1" spans="1:11" ht="18" x14ac:dyDescent="0.35">
      <c r="A1" s="1420" t="s">
        <v>0</v>
      </c>
      <c r="B1" s="1420"/>
      <c r="C1" s="1420"/>
      <c r="D1" s="1420"/>
      <c r="E1" s="1420"/>
      <c r="F1" s="1420"/>
      <c r="G1" s="1420"/>
      <c r="H1" s="1420"/>
      <c r="I1" s="1420"/>
      <c r="J1" s="72"/>
      <c r="K1" s="90" t="s">
        <v>549</v>
      </c>
    </row>
    <row r="2" spans="1:11" ht="21" x14ac:dyDescent="0.35">
      <c r="A2" s="1421" t="s">
        <v>793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</row>
    <row r="3" spans="1:11" ht="15" x14ac:dyDescent="0.3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1" ht="18" x14ac:dyDescent="0.35">
      <c r="A4" s="1420" t="s">
        <v>548</v>
      </c>
      <c r="B4" s="1420"/>
      <c r="C4" s="1420"/>
      <c r="D4" s="1420"/>
      <c r="E4" s="1420"/>
      <c r="F4" s="1420"/>
      <c r="G4" s="1420"/>
      <c r="H4" s="1420"/>
      <c r="I4" s="1420"/>
      <c r="J4" s="1420"/>
    </row>
    <row r="5" spans="1:11" ht="15" x14ac:dyDescent="0.3">
      <c r="A5" s="69" t="s">
        <v>687</v>
      </c>
      <c r="B5" s="69"/>
      <c r="C5" s="69"/>
      <c r="D5" s="69"/>
      <c r="E5" s="69"/>
      <c r="F5" s="69"/>
      <c r="G5" s="69"/>
      <c r="H5" s="69"/>
      <c r="I5" s="69"/>
      <c r="J5" s="68" t="s">
        <v>924</v>
      </c>
    </row>
    <row r="6" spans="1:11" s="115" customFormat="1" ht="25.5" customHeight="1" x14ac:dyDescent="0.2">
      <c r="A6" s="1416" t="s">
        <v>2</v>
      </c>
      <c r="B6" s="1416" t="s">
        <v>895</v>
      </c>
      <c r="C6" s="1416" t="s">
        <v>376</v>
      </c>
      <c r="D6" s="1199" t="s">
        <v>377</v>
      </c>
      <c r="E6" s="1199"/>
      <c r="F6" s="1199"/>
      <c r="G6" s="1416" t="s">
        <v>380</v>
      </c>
      <c r="H6" s="1416"/>
      <c r="I6" s="1416"/>
      <c r="J6" s="1416"/>
      <c r="K6" s="1416" t="s">
        <v>384</v>
      </c>
    </row>
    <row r="7" spans="1:11" s="115" customFormat="1" ht="63" customHeight="1" x14ac:dyDescent="0.2">
      <c r="A7" s="1416"/>
      <c r="B7" s="1416"/>
      <c r="C7" s="1416"/>
      <c r="D7" s="839" t="s">
        <v>92</v>
      </c>
      <c r="E7" s="839" t="s">
        <v>378</v>
      </c>
      <c r="F7" s="839" t="s">
        <v>379</v>
      </c>
      <c r="G7" s="841" t="s">
        <v>381</v>
      </c>
      <c r="H7" s="841" t="s">
        <v>382</v>
      </c>
      <c r="I7" s="841" t="s">
        <v>383</v>
      </c>
      <c r="J7" s="841" t="s">
        <v>39</v>
      </c>
      <c r="K7" s="1416"/>
    </row>
    <row r="8" spans="1:11" ht="15" x14ac:dyDescent="0.2">
      <c r="A8" s="583" t="s">
        <v>248</v>
      </c>
      <c r="B8" s="583" t="s">
        <v>249</v>
      </c>
      <c r="C8" s="583"/>
      <c r="D8" s="583" t="s">
        <v>250</v>
      </c>
      <c r="E8" s="583" t="s">
        <v>251</v>
      </c>
      <c r="F8" s="583" t="s">
        <v>252</v>
      </c>
      <c r="G8" s="583" t="s">
        <v>255</v>
      </c>
      <c r="H8" s="583" t="s">
        <v>276</v>
      </c>
      <c r="I8" s="583" t="s">
        <v>277</v>
      </c>
      <c r="J8" s="583" t="s">
        <v>278</v>
      </c>
      <c r="K8" s="583" t="s">
        <v>306</v>
      </c>
    </row>
    <row r="9" spans="1:11" s="227" customFormat="1" ht="22.5" customHeight="1" x14ac:dyDescent="0.2">
      <c r="A9" s="233">
        <v>1</v>
      </c>
      <c r="B9" s="173" t="s">
        <v>647</v>
      </c>
      <c r="C9" s="898">
        <v>4</v>
      </c>
      <c r="D9" s="898">
        <v>4</v>
      </c>
      <c r="E9" s="116" t="s">
        <v>919</v>
      </c>
      <c r="F9" s="899">
        <f>'AT-3'!G9</f>
        <v>3154</v>
      </c>
      <c r="G9" s="118" t="s">
        <v>7</v>
      </c>
      <c r="H9" s="118" t="s">
        <v>7</v>
      </c>
      <c r="I9" s="118" t="s">
        <v>7</v>
      </c>
      <c r="J9" s="1417" t="s">
        <v>898</v>
      </c>
      <c r="K9" s="900" t="s">
        <v>7</v>
      </c>
    </row>
    <row r="10" spans="1:11" s="227" customFormat="1" ht="22.5" customHeight="1" x14ac:dyDescent="0.2">
      <c r="A10" s="233">
        <v>2</v>
      </c>
      <c r="B10" s="173" t="s">
        <v>648</v>
      </c>
      <c r="C10" s="898">
        <v>4</v>
      </c>
      <c r="D10" s="898">
        <v>4</v>
      </c>
      <c r="E10" s="116" t="s">
        <v>919</v>
      </c>
      <c r="F10" s="899">
        <f>'AT-3'!G10</f>
        <v>2701</v>
      </c>
      <c r="G10" s="118" t="s">
        <v>7</v>
      </c>
      <c r="H10" s="118" t="s">
        <v>7</v>
      </c>
      <c r="I10" s="118" t="s">
        <v>7</v>
      </c>
      <c r="J10" s="1418"/>
      <c r="K10" s="900" t="s">
        <v>7</v>
      </c>
    </row>
    <row r="11" spans="1:11" s="227" customFormat="1" ht="22.5" customHeight="1" x14ac:dyDescent="0.2">
      <c r="A11" s="233">
        <v>3</v>
      </c>
      <c r="B11" s="173" t="s">
        <v>649</v>
      </c>
      <c r="C11" s="898">
        <v>4</v>
      </c>
      <c r="D11" s="898">
        <v>4</v>
      </c>
      <c r="E11" s="116" t="s">
        <v>919</v>
      </c>
      <c r="F11" s="899">
        <f>'AT-3'!G11</f>
        <v>3863</v>
      </c>
      <c r="G11" s="118" t="s">
        <v>7</v>
      </c>
      <c r="H11" s="118" t="s">
        <v>7</v>
      </c>
      <c r="I11" s="118" t="s">
        <v>7</v>
      </c>
      <c r="J11" s="1418"/>
      <c r="K11" s="900" t="s">
        <v>7</v>
      </c>
    </row>
    <row r="12" spans="1:11" s="227" customFormat="1" ht="22.5" customHeight="1" x14ac:dyDescent="0.2">
      <c r="A12" s="233">
        <v>4</v>
      </c>
      <c r="B12" s="173" t="s">
        <v>650</v>
      </c>
      <c r="C12" s="898">
        <v>4</v>
      </c>
      <c r="D12" s="898">
        <v>4</v>
      </c>
      <c r="E12" s="116" t="s">
        <v>919</v>
      </c>
      <c r="F12" s="899">
        <f>'AT-3'!G12</f>
        <v>4264</v>
      </c>
      <c r="G12" s="118" t="s">
        <v>7</v>
      </c>
      <c r="H12" s="118" t="s">
        <v>7</v>
      </c>
      <c r="I12" s="118" t="s">
        <v>7</v>
      </c>
      <c r="J12" s="1418"/>
      <c r="K12" s="900" t="s">
        <v>7</v>
      </c>
    </row>
    <row r="13" spans="1:11" s="227" customFormat="1" ht="22.5" customHeight="1" x14ac:dyDescent="0.2">
      <c r="A13" s="233">
        <v>5</v>
      </c>
      <c r="B13" s="173" t="s">
        <v>651</v>
      </c>
      <c r="C13" s="898">
        <v>4</v>
      </c>
      <c r="D13" s="898">
        <v>4</v>
      </c>
      <c r="E13" s="116" t="s">
        <v>919</v>
      </c>
      <c r="F13" s="899">
        <f>'AT-3'!G13</f>
        <v>3242</v>
      </c>
      <c r="G13" s="118" t="s">
        <v>7</v>
      </c>
      <c r="H13" s="118" t="s">
        <v>7</v>
      </c>
      <c r="I13" s="118" t="s">
        <v>7</v>
      </c>
      <c r="J13" s="1418"/>
      <c r="K13" s="900" t="s">
        <v>7</v>
      </c>
    </row>
    <row r="14" spans="1:11" s="227" customFormat="1" ht="22.5" customHeight="1" x14ac:dyDescent="0.2">
      <c r="A14" s="233">
        <v>6</v>
      </c>
      <c r="B14" s="173" t="s">
        <v>652</v>
      </c>
      <c r="C14" s="898">
        <v>4</v>
      </c>
      <c r="D14" s="898">
        <v>4</v>
      </c>
      <c r="E14" s="116" t="s">
        <v>919</v>
      </c>
      <c r="F14" s="899">
        <f>'AT-3'!G14</f>
        <v>3120</v>
      </c>
      <c r="G14" s="118" t="s">
        <v>7</v>
      </c>
      <c r="H14" s="118" t="s">
        <v>7</v>
      </c>
      <c r="I14" s="118" t="s">
        <v>7</v>
      </c>
      <c r="J14" s="1418"/>
      <c r="K14" s="900" t="s">
        <v>7</v>
      </c>
    </row>
    <row r="15" spans="1:11" s="227" customFormat="1" ht="22.5" customHeight="1" x14ac:dyDescent="0.2">
      <c r="A15" s="233">
        <v>7</v>
      </c>
      <c r="B15" s="173" t="s">
        <v>653</v>
      </c>
      <c r="C15" s="898">
        <v>4</v>
      </c>
      <c r="D15" s="898">
        <v>4</v>
      </c>
      <c r="E15" s="116" t="s">
        <v>919</v>
      </c>
      <c r="F15" s="899">
        <f>'AT-3'!G15</f>
        <v>3497</v>
      </c>
      <c r="G15" s="118" t="s">
        <v>7</v>
      </c>
      <c r="H15" s="118" t="s">
        <v>7</v>
      </c>
      <c r="I15" s="118" t="s">
        <v>7</v>
      </c>
      <c r="J15" s="1418"/>
      <c r="K15" s="900" t="s">
        <v>7</v>
      </c>
    </row>
    <row r="16" spans="1:11" s="227" customFormat="1" ht="22.5" customHeight="1" x14ac:dyDescent="0.2">
      <c r="A16" s="233">
        <v>8</v>
      </c>
      <c r="B16" s="173" t="s">
        <v>654</v>
      </c>
      <c r="C16" s="898">
        <v>4</v>
      </c>
      <c r="D16" s="898">
        <v>4</v>
      </c>
      <c r="E16" s="116" t="s">
        <v>919</v>
      </c>
      <c r="F16" s="899">
        <f>'AT-3'!G16</f>
        <v>3367</v>
      </c>
      <c r="G16" s="118" t="s">
        <v>7</v>
      </c>
      <c r="H16" s="118" t="s">
        <v>7</v>
      </c>
      <c r="I16" s="118" t="s">
        <v>7</v>
      </c>
      <c r="J16" s="1418"/>
      <c r="K16" s="900" t="s">
        <v>7</v>
      </c>
    </row>
    <row r="17" spans="1:11" s="227" customFormat="1" ht="22.5" customHeight="1" x14ac:dyDescent="0.2">
      <c r="A17" s="233">
        <v>9</v>
      </c>
      <c r="B17" s="173" t="s">
        <v>655</v>
      </c>
      <c r="C17" s="898">
        <v>4</v>
      </c>
      <c r="D17" s="898">
        <v>4</v>
      </c>
      <c r="E17" s="116" t="s">
        <v>919</v>
      </c>
      <c r="F17" s="899">
        <f>'AT-3'!G17</f>
        <v>3425</v>
      </c>
      <c r="G17" s="118" t="s">
        <v>7</v>
      </c>
      <c r="H17" s="118" t="s">
        <v>7</v>
      </c>
      <c r="I17" s="118" t="s">
        <v>7</v>
      </c>
      <c r="J17" s="1418"/>
      <c r="K17" s="900" t="s">
        <v>7</v>
      </c>
    </row>
    <row r="18" spans="1:11" s="227" customFormat="1" ht="22.5" customHeight="1" x14ac:dyDescent="0.2">
      <c r="A18" s="233">
        <v>10</v>
      </c>
      <c r="B18" s="173" t="s">
        <v>656</v>
      </c>
      <c r="C18" s="898">
        <v>4</v>
      </c>
      <c r="D18" s="898">
        <v>4</v>
      </c>
      <c r="E18" s="116" t="s">
        <v>919</v>
      </c>
      <c r="F18" s="899">
        <f>'AT-3'!G18</f>
        <v>4816</v>
      </c>
      <c r="G18" s="118" t="s">
        <v>7</v>
      </c>
      <c r="H18" s="118" t="s">
        <v>7</v>
      </c>
      <c r="I18" s="118" t="s">
        <v>7</v>
      </c>
      <c r="J18" s="1418"/>
      <c r="K18" s="900" t="s">
        <v>7</v>
      </c>
    </row>
    <row r="19" spans="1:11" s="227" customFormat="1" ht="22.5" customHeight="1" x14ac:dyDescent="0.2">
      <c r="A19" s="233">
        <v>11</v>
      </c>
      <c r="B19" s="173" t="s">
        <v>657</v>
      </c>
      <c r="C19" s="898">
        <v>4</v>
      </c>
      <c r="D19" s="898">
        <v>4</v>
      </c>
      <c r="E19" s="116" t="s">
        <v>919</v>
      </c>
      <c r="F19" s="899">
        <f>'AT-3'!G19</f>
        <v>3369</v>
      </c>
      <c r="G19" s="118" t="s">
        <v>7</v>
      </c>
      <c r="H19" s="118" t="s">
        <v>7</v>
      </c>
      <c r="I19" s="118" t="s">
        <v>7</v>
      </c>
      <c r="J19" s="1418"/>
      <c r="K19" s="900" t="s">
        <v>7</v>
      </c>
    </row>
    <row r="20" spans="1:11" s="227" customFormat="1" ht="22.5" customHeight="1" x14ac:dyDescent="0.2">
      <c r="A20" s="233">
        <v>12</v>
      </c>
      <c r="B20" s="173" t="s">
        <v>658</v>
      </c>
      <c r="C20" s="898">
        <v>4</v>
      </c>
      <c r="D20" s="898">
        <v>4</v>
      </c>
      <c r="E20" s="116" t="s">
        <v>919</v>
      </c>
      <c r="F20" s="899">
        <f>'AT-3'!G20</f>
        <v>3818</v>
      </c>
      <c r="G20" s="118" t="s">
        <v>7</v>
      </c>
      <c r="H20" s="118" t="s">
        <v>7</v>
      </c>
      <c r="I20" s="118" t="s">
        <v>7</v>
      </c>
      <c r="J20" s="1418"/>
      <c r="K20" s="900" t="s">
        <v>7</v>
      </c>
    </row>
    <row r="21" spans="1:11" s="227" customFormat="1" ht="22.5" customHeight="1" x14ac:dyDescent="0.2">
      <c r="A21" s="233">
        <v>13</v>
      </c>
      <c r="B21" s="173" t="s">
        <v>659</v>
      </c>
      <c r="C21" s="898">
        <v>4</v>
      </c>
      <c r="D21" s="898">
        <v>4</v>
      </c>
      <c r="E21" s="116" t="s">
        <v>919</v>
      </c>
      <c r="F21" s="899">
        <f>'AT-3'!G21</f>
        <v>2869</v>
      </c>
      <c r="G21" s="118" t="s">
        <v>7</v>
      </c>
      <c r="H21" s="118" t="s">
        <v>7</v>
      </c>
      <c r="I21" s="118" t="s">
        <v>7</v>
      </c>
      <c r="J21" s="1419"/>
      <c r="K21" s="900" t="s">
        <v>7</v>
      </c>
    </row>
    <row r="22" spans="1:11" s="228" customFormat="1" ht="22.5" customHeight="1" x14ac:dyDescent="0.25">
      <c r="A22" s="1414" t="s">
        <v>660</v>
      </c>
      <c r="B22" s="1414"/>
      <c r="C22" s="897">
        <v>4</v>
      </c>
      <c r="D22" s="897">
        <v>4</v>
      </c>
      <c r="E22" s="881" t="s">
        <v>7</v>
      </c>
      <c r="F22" s="727">
        <f>SUM(F9:F21)</f>
        <v>45505</v>
      </c>
      <c r="G22" s="118" t="s">
        <v>7</v>
      </c>
      <c r="H22" s="118" t="s">
        <v>7</v>
      </c>
      <c r="I22" s="118" t="s">
        <v>7</v>
      </c>
      <c r="J22" s="231"/>
      <c r="K22" s="900" t="s">
        <v>7</v>
      </c>
    </row>
    <row r="23" spans="1:11" s="227" customFormat="1" ht="15.75" customHeight="1" x14ac:dyDescent="0.2">
      <c r="A23" s="228"/>
      <c r="B23" s="228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s="227" customFormat="1" ht="60" customHeight="1" x14ac:dyDescent="0.2">
      <c r="A24" s="1332" t="s">
        <v>676</v>
      </c>
      <c r="B24" s="1332"/>
      <c r="C24" s="840"/>
      <c r="D24" s="234"/>
      <c r="E24" s="235"/>
      <c r="F24" s="235"/>
      <c r="I24" s="1415" t="s">
        <v>646</v>
      </c>
      <c r="J24" s="1415"/>
      <c r="K24" s="1415"/>
    </row>
  </sheetData>
  <mergeCells count="13">
    <mergeCell ref="A1:I1"/>
    <mergeCell ref="A2:K2"/>
    <mergeCell ref="A4:J4"/>
    <mergeCell ref="A6:A7"/>
    <mergeCell ref="B6:B7"/>
    <mergeCell ref="D6:F6"/>
    <mergeCell ref="G6:J6"/>
    <mergeCell ref="C6:C7"/>
    <mergeCell ref="A22:B22"/>
    <mergeCell ref="A24:B24"/>
    <mergeCell ref="I24:K24"/>
    <mergeCell ref="K6:K7"/>
    <mergeCell ref="J9:J21"/>
  </mergeCells>
  <printOptions horizontalCentered="1"/>
  <pageMargins left="0.70866141732283472" right="7.874015748031496E-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5" tint="0.59999389629810485"/>
  </sheetPr>
  <dimension ref="A1:K28"/>
  <sheetViews>
    <sheetView view="pageBreakPreview" topLeftCell="A7" zoomScale="80" zoomScaleSheetLayoutView="80" workbookViewId="0">
      <selection activeCell="M15" sqref="M15"/>
    </sheetView>
  </sheetViews>
  <sheetFormatPr defaultColWidth="9.140625" defaultRowHeight="15" x14ac:dyDescent="0.25"/>
  <cols>
    <col min="1" max="1" width="8.5703125" style="456" customWidth="1"/>
    <col min="2" max="2" width="32.140625" style="456" customWidth="1"/>
    <col min="3" max="3" width="14.28515625" style="456" customWidth="1"/>
    <col min="4" max="5" width="11.7109375" style="456" customWidth="1"/>
    <col min="6" max="6" width="12" style="456" customWidth="1"/>
    <col min="7" max="7" width="12.5703125" style="456" customWidth="1"/>
    <col min="8" max="8" width="11.85546875" style="456" customWidth="1"/>
    <col min="9" max="9" width="12" style="456" customWidth="1"/>
    <col min="10" max="10" width="11.85546875" style="456" customWidth="1"/>
    <col min="11" max="11" width="17" style="456" customWidth="1"/>
    <col min="12" max="16384" width="9.140625" style="456"/>
  </cols>
  <sheetData>
    <row r="1" spans="1:11" x14ac:dyDescent="0.25">
      <c r="H1" s="1430"/>
      <c r="I1" s="1430"/>
      <c r="J1" s="485"/>
      <c r="K1" s="484" t="s">
        <v>698</v>
      </c>
    </row>
    <row r="2" spans="1:11" x14ac:dyDescent="0.25">
      <c r="A2" s="1430" t="s">
        <v>0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</row>
    <row r="3" spans="1:11" ht="20.25" customHeight="1" x14ac:dyDescent="0.25">
      <c r="A3" s="1430" t="s">
        <v>793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</row>
    <row r="5" spans="1:11" x14ac:dyDescent="0.25">
      <c r="A5" s="1431" t="s">
        <v>550</v>
      </c>
      <c r="B5" s="1431"/>
      <c r="C5" s="1431"/>
      <c r="D5" s="1431"/>
      <c r="E5" s="1431"/>
      <c r="F5" s="1431"/>
      <c r="G5" s="1431"/>
      <c r="H5" s="1431"/>
      <c r="I5" s="1431"/>
      <c r="J5" s="1431"/>
      <c r="K5" s="1431"/>
    </row>
    <row r="7" spans="1:11" ht="16.5" x14ac:dyDescent="0.3">
      <c r="A7" s="483" t="s">
        <v>661</v>
      </c>
    </row>
    <row r="9" spans="1:11" s="480" customFormat="1" x14ac:dyDescent="0.25">
      <c r="A9" s="456"/>
      <c r="B9" s="456"/>
      <c r="C9" s="456"/>
      <c r="D9" s="456"/>
      <c r="E9" s="456"/>
      <c r="F9" s="456"/>
      <c r="G9" s="456"/>
      <c r="H9" s="456"/>
      <c r="I9" s="456"/>
      <c r="J9" s="1424" t="s">
        <v>924</v>
      </c>
      <c r="K9" s="1424"/>
    </row>
    <row r="10" spans="1:11" s="480" customFormat="1" ht="39.75" customHeight="1" x14ac:dyDescent="0.25">
      <c r="A10" s="1425" t="s">
        <v>270</v>
      </c>
      <c r="B10" s="1425" t="s">
        <v>271</v>
      </c>
      <c r="C10" s="1427" t="s">
        <v>272</v>
      </c>
      <c r="D10" s="1428"/>
      <c r="E10" s="1428"/>
      <c r="F10" s="1429"/>
      <c r="G10" s="1427" t="s">
        <v>840</v>
      </c>
      <c r="H10" s="1428"/>
      <c r="I10" s="1428"/>
      <c r="J10" s="1429"/>
      <c r="K10" s="1425" t="s">
        <v>70</v>
      </c>
    </row>
    <row r="11" spans="1:11" s="480" customFormat="1" ht="37.5" customHeight="1" x14ac:dyDescent="0.25">
      <c r="A11" s="1426"/>
      <c r="B11" s="1426"/>
      <c r="C11" s="482" t="s">
        <v>273</v>
      </c>
      <c r="D11" s="482" t="s">
        <v>274</v>
      </c>
      <c r="E11" s="482" t="s">
        <v>275</v>
      </c>
      <c r="F11" s="482" t="s">
        <v>13</v>
      </c>
      <c r="G11" s="482" t="s">
        <v>273</v>
      </c>
      <c r="H11" s="482" t="s">
        <v>274</v>
      </c>
      <c r="I11" s="482" t="s">
        <v>275</v>
      </c>
      <c r="J11" s="482" t="s">
        <v>13</v>
      </c>
      <c r="K11" s="1426"/>
    </row>
    <row r="12" spans="1:11" s="480" customFormat="1" x14ac:dyDescent="0.25">
      <c r="A12" s="481" t="s">
        <v>248</v>
      </c>
      <c r="B12" s="481" t="s">
        <v>249</v>
      </c>
      <c r="C12" s="481" t="s">
        <v>250</v>
      </c>
      <c r="D12" s="481" t="s">
        <v>251</v>
      </c>
      <c r="E12" s="481" t="s">
        <v>252</v>
      </c>
      <c r="F12" s="481" t="s">
        <v>253</v>
      </c>
      <c r="G12" s="481" t="s">
        <v>254</v>
      </c>
      <c r="H12" s="481" t="s">
        <v>255</v>
      </c>
      <c r="I12" s="481" t="s">
        <v>276</v>
      </c>
      <c r="J12" s="481" t="s">
        <v>277</v>
      </c>
      <c r="K12" s="481" t="s">
        <v>278</v>
      </c>
    </row>
    <row r="13" spans="1:11" s="477" customFormat="1" ht="24.95" customHeight="1" x14ac:dyDescent="0.2">
      <c r="A13" s="476" t="s">
        <v>22</v>
      </c>
      <c r="B13" s="469" t="s">
        <v>279</v>
      </c>
      <c r="C13" s="479"/>
      <c r="D13" s="479"/>
      <c r="E13" s="479"/>
      <c r="F13" s="479"/>
      <c r="G13" s="479"/>
      <c r="H13" s="479"/>
      <c r="I13" s="478"/>
      <c r="J13" s="478"/>
      <c r="K13" s="469"/>
    </row>
    <row r="14" spans="1:11" s="475" customFormat="1" ht="24.95" customHeight="1" x14ac:dyDescent="0.2">
      <c r="A14" s="476"/>
      <c r="B14" s="464" t="s">
        <v>697</v>
      </c>
      <c r="C14" s="462">
        <v>1</v>
      </c>
      <c r="D14" s="462">
        <v>0</v>
      </c>
      <c r="E14" s="462">
        <v>0</v>
      </c>
      <c r="F14" s="462">
        <f>C14+D14+E14</f>
        <v>1</v>
      </c>
      <c r="G14" s="462">
        <v>0</v>
      </c>
      <c r="H14" s="462">
        <v>0</v>
      </c>
      <c r="I14" s="462">
        <v>0</v>
      </c>
      <c r="J14" s="462">
        <f>SUM(G14:I14)</f>
        <v>0</v>
      </c>
      <c r="K14" s="469"/>
    </row>
    <row r="15" spans="1:11" ht="24.95" customHeight="1" x14ac:dyDescent="0.3">
      <c r="A15" s="470"/>
      <c r="B15" s="464" t="s">
        <v>696</v>
      </c>
      <c r="C15" s="462">
        <v>1</v>
      </c>
      <c r="D15" s="474">
        <v>0</v>
      </c>
      <c r="E15" s="462">
        <v>0</v>
      </c>
      <c r="F15" s="462">
        <f>C15+D15+E15</f>
        <v>1</v>
      </c>
      <c r="G15" s="462">
        <v>0</v>
      </c>
      <c r="H15" s="462">
        <v>13</v>
      </c>
      <c r="I15" s="462">
        <v>0</v>
      </c>
      <c r="J15" s="462">
        <f>SUM(G15:I15)</f>
        <v>13</v>
      </c>
      <c r="K15" s="460"/>
    </row>
    <row r="16" spans="1:11" ht="24.95" customHeight="1" x14ac:dyDescent="0.25">
      <c r="A16" s="461"/>
      <c r="B16" s="464" t="s">
        <v>695</v>
      </c>
      <c r="C16" s="462">
        <v>0</v>
      </c>
      <c r="D16" s="474">
        <v>0</v>
      </c>
      <c r="E16" s="462">
        <v>0</v>
      </c>
      <c r="F16" s="462">
        <f>C16+D16+E16</f>
        <v>0</v>
      </c>
      <c r="G16" s="462">
        <v>1</v>
      </c>
      <c r="H16" s="462">
        <v>13</v>
      </c>
      <c r="I16" s="462">
        <v>0</v>
      </c>
      <c r="J16" s="462">
        <f>SUM(G16:I16)</f>
        <v>14</v>
      </c>
      <c r="K16" s="460"/>
    </row>
    <row r="17" spans="1:11" s="465" customFormat="1" ht="24.95" customHeight="1" x14ac:dyDescent="0.3">
      <c r="A17" s="470"/>
      <c r="B17" s="464" t="s">
        <v>694</v>
      </c>
      <c r="C17" s="462">
        <v>0</v>
      </c>
      <c r="D17" s="474">
        <v>0</v>
      </c>
      <c r="E17" s="462">
        <v>0</v>
      </c>
      <c r="F17" s="462">
        <f>C17+D17+E17</f>
        <v>0</v>
      </c>
      <c r="G17" s="462">
        <v>1</v>
      </c>
      <c r="H17" s="462">
        <v>13</v>
      </c>
      <c r="I17" s="462">
        <v>0</v>
      </c>
      <c r="J17" s="462">
        <f>SUM(G17:I17)</f>
        <v>14</v>
      </c>
      <c r="K17" s="466"/>
    </row>
    <row r="18" spans="1:11" s="465" customFormat="1" ht="24.95" customHeight="1" x14ac:dyDescent="0.3">
      <c r="A18" s="470"/>
      <c r="B18" s="464" t="s">
        <v>693</v>
      </c>
      <c r="C18" s="462">
        <v>0</v>
      </c>
      <c r="D18" s="474">
        <v>0</v>
      </c>
      <c r="E18" s="462">
        <v>0</v>
      </c>
      <c r="F18" s="462">
        <f>C18+D18+E18</f>
        <v>0</v>
      </c>
      <c r="G18" s="462">
        <v>1</v>
      </c>
      <c r="H18" s="462">
        <v>0</v>
      </c>
      <c r="I18" s="462">
        <v>0</v>
      </c>
      <c r="J18" s="462">
        <f>SUM(G18:I18)</f>
        <v>1</v>
      </c>
      <c r="K18" s="466"/>
    </row>
    <row r="19" spans="1:11" s="465" customFormat="1" ht="24.95" customHeight="1" x14ac:dyDescent="0.3">
      <c r="A19" s="470"/>
      <c r="B19" s="473"/>
      <c r="C19" s="471"/>
      <c r="D19" s="471"/>
      <c r="E19" s="471"/>
      <c r="F19" s="471"/>
      <c r="G19" s="471"/>
      <c r="H19" s="472"/>
      <c r="I19" s="471"/>
      <c r="J19" s="471"/>
      <c r="K19" s="466"/>
    </row>
    <row r="20" spans="1:11" s="465" customFormat="1" ht="24.95" customHeight="1" x14ac:dyDescent="0.3">
      <c r="A20" s="470" t="s">
        <v>26</v>
      </c>
      <c r="B20" s="469" t="s">
        <v>692</v>
      </c>
      <c r="C20" s="468"/>
      <c r="D20" s="468"/>
      <c r="E20" s="468"/>
      <c r="F20" s="468"/>
      <c r="G20" s="468"/>
      <c r="H20" s="468"/>
      <c r="I20" s="468"/>
      <c r="J20" s="468"/>
      <c r="K20" s="466"/>
    </row>
    <row r="21" spans="1:11" s="465" customFormat="1" ht="24.95" customHeight="1" x14ac:dyDescent="0.3">
      <c r="A21" s="467" t="s">
        <v>269</v>
      </c>
      <c r="B21" s="464" t="s">
        <v>691</v>
      </c>
      <c r="C21" s="462">
        <v>1</v>
      </c>
      <c r="D21" s="462">
        <v>13</v>
      </c>
      <c r="E21" s="462">
        <v>0</v>
      </c>
      <c r="F21" s="462">
        <f>C21+D21+E21</f>
        <v>14</v>
      </c>
      <c r="G21" s="462">
        <v>1</v>
      </c>
      <c r="H21" s="462">
        <v>0</v>
      </c>
      <c r="I21" s="462">
        <v>670</v>
      </c>
      <c r="J21" s="462">
        <f>SUM(G21:I21)</f>
        <v>671</v>
      </c>
      <c r="K21" s="466"/>
    </row>
    <row r="22" spans="1:11" ht="24.95" customHeight="1" x14ac:dyDescent="0.25">
      <c r="A22" s="461"/>
      <c r="B22" s="464" t="s">
        <v>690</v>
      </c>
      <c r="C22" s="462">
        <v>1</v>
      </c>
      <c r="D22" s="462">
        <v>0</v>
      </c>
      <c r="E22" s="462">
        <v>0</v>
      </c>
      <c r="F22" s="462">
        <f>C22+D22+E22</f>
        <v>1</v>
      </c>
      <c r="G22" s="462">
        <v>0</v>
      </c>
      <c r="H22" s="462">
        <v>0</v>
      </c>
      <c r="I22" s="462">
        <v>0</v>
      </c>
      <c r="J22" s="462">
        <f>SUM(G22:I22)</f>
        <v>0</v>
      </c>
      <c r="K22" s="460"/>
    </row>
    <row r="23" spans="1:11" ht="24.95" customHeight="1" x14ac:dyDescent="0.25">
      <c r="A23" s="461"/>
      <c r="B23" s="463" t="s">
        <v>920</v>
      </c>
      <c r="C23" s="462">
        <v>0</v>
      </c>
      <c r="D23" s="462">
        <v>0</v>
      </c>
      <c r="E23" s="462">
        <v>0</v>
      </c>
      <c r="F23" s="462">
        <f>C23+D23+E23</f>
        <v>0</v>
      </c>
      <c r="G23" s="462">
        <v>3</v>
      </c>
      <c r="H23" s="462">
        <v>0</v>
      </c>
      <c r="I23" s="462">
        <v>0</v>
      </c>
      <c r="J23" s="462">
        <f>SUM(G23:I23)</f>
        <v>3</v>
      </c>
      <c r="K23" s="460"/>
    </row>
    <row r="24" spans="1:11" ht="24.95" customHeight="1" x14ac:dyDescent="0.25">
      <c r="A24" s="461"/>
      <c r="B24" s="460"/>
      <c r="C24" s="460"/>
      <c r="D24" s="460"/>
      <c r="E24" s="460"/>
      <c r="F24" s="460"/>
      <c r="G24" s="460"/>
      <c r="H24" s="460"/>
      <c r="I24" s="460"/>
      <c r="J24" s="460"/>
      <c r="K24" s="460"/>
    </row>
    <row r="25" spans="1:11" ht="12.75" customHeight="1" x14ac:dyDescent="0.25"/>
    <row r="26" spans="1:11" ht="17.25" customHeight="1" x14ac:dyDescent="0.25">
      <c r="A26" s="456" t="s">
        <v>689</v>
      </c>
    </row>
    <row r="27" spans="1:11" ht="21.75" customHeight="1" x14ac:dyDescent="0.25">
      <c r="H27" s="1432"/>
      <c r="I27" s="1432"/>
      <c r="J27" s="1432"/>
      <c r="K27" s="1432"/>
    </row>
    <row r="28" spans="1:11" ht="62.25" customHeight="1" x14ac:dyDescent="0.3">
      <c r="A28" s="1422" t="s">
        <v>677</v>
      </c>
      <c r="B28" s="1422"/>
      <c r="C28" s="459"/>
      <c r="D28" s="458"/>
      <c r="E28" s="458"/>
      <c r="F28" s="457"/>
      <c r="G28" s="457"/>
      <c r="H28" s="457"/>
      <c r="I28" s="1423" t="s">
        <v>688</v>
      </c>
      <c r="J28" s="1423"/>
      <c r="K28" s="1423"/>
    </row>
  </sheetData>
  <mergeCells count="13">
    <mergeCell ref="H1:I1"/>
    <mergeCell ref="A2:K2"/>
    <mergeCell ref="A3:K3"/>
    <mergeCell ref="A5:K5"/>
    <mergeCell ref="H27:K27"/>
    <mergeCell ref="A28:B28"/>
    <mergeCell ref="I28:K28"/>
    <mergeCell ref="J9:K9"/>
    <mergeCell ref="A10:A11"/>
    <mergeCell ref="B10:B11"/>
    <mergeCell ref="C10:F10"/>
    <mergeCell ref="G10:J10"/>
    <mergeCell ref="K10:K11"/>
  </mergeCells>
  <printOptions horizontalCentered="1"/>
  <pageMargins left="0.74803149606299213" right="0.19685039370078741" top="0.19685039370078741" bottom="0.39370078740157483" header="0.19685039370078741" footer="0.19685039370078741"/>
  <pageSetup paperSize="9" scale="86" orientation="landscape" r:id="rId1"/>
  <headerFooter>
    <oddFooter>&amp;CSheet-105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5" tint="0.59999389629810485"/>
    <pageSetUpPr fitToPage="1"/>
  </sheetPr>
  <dimension ref="A1:H23"/>
  <sheetViews>
    <sheetView view="pageBreakPreview" topLeftCell="A7" zoomScaleSheetLayoutView="100" workbookViewId="0">
      <selection activeCell="J6" sqref="J6"/>
    </sheetView>
  </sheetViews>
  <sheetFormatPr defaultColWidth="9.140625" defaultRowHeight="12.75" x14ac:dyDescent="0.2"/>
  <cols>
    <col min="1" max="1" width="8.28515625" style="183" customWidth="1"/>
    <col min="2" max="2" width="15.5703125" style="183" customWidth="1"/>
    <col min="3" max="3" width="17.28515625" style="183" customWidth="1"/>
    <col min="4" max="4" width="21" style="183" customWidth="1"/>
    <col min="5" max="5" width="21.140625" style="183" customWidth="1"/>
    <col min="6" max="6" width="20.7109375" style="183" customWidth="1"/>
    <col min="7" max="7" width="23.5703125" style="183" customWidth="1"/>
    <col min="8" max="16384" width="9.140625" style="183"/>
  </cols>
  <sheetData>
    <row r="1" spans="1:8" ht="18" x14ac:dyDescent="0.35">
      <c r="A1" s="1232" t="s">
        <v>0</v>
      </c>
      <c r="B1" s="1232"/>
      <c r="C1" s="1232"/>
      <c r="D1" s="1232"/>
      <c r="E1" s="1232"/>
      <c r="F1" s="1232"/>
      <c r="G1" s="810" t="s">
        <v>841</v>
      </c>
    </row>
    <row r="2" spans="1:8" ht="21" x14ac:dyDescent="0.35">
      <c r="A2" s="1233" t="s">
        <v>793</v>
      </c>
      <c r="B2" s="1233"/>
      <c r="C2" s="1233"/>
      <c r="D2" s="1233"/>
      <c r="E2" s="1233"/>
      <c r="F2" s="1233"/>
      <c r="G2" s="1233"/>
    </row>
    <row r="3" spans="1:8" ht="15" x14ac:dyDescent="0.3">
      <c r="A3" s="811"/>
      <c r="B3" s="811"/>
    </row>
    <row r="4" spans="1:8" ht="18" customHeight="1" x14ac:dyDescent="0.35">
      <c r="A4" s="1234" t="s">
        <v>842</v>
      </c>
      <c r="B4" s="1234"/>
      <c r="C4" s="1234"/>
      <c r="D4" s="1234"/>
      <c r="E4" s="1234"/>
      <c r="F4" s="1234"/>
      <c r="G4" s="1234"/>
    </row>
    <row r="5" spans="1:8" ht="15" x14ac:dyDescent="0.3">
      <c r="A5" s="1435" t="s">
        <v>679</v>
      </c>
      <c r="B5" s="1435"/>
      <c r="C5" s="1435"/>
      <c r="F5" s="1434" t="s">
        <v>924</v>
      </c>
      <c r="G5" s="1434"/>
    </row>
    <row r="6" spans="1:8" ht="59.25" customHeight="1" x14ac:dyDescent="0.2">
      <c r="A6" s="813" t="s">
        <v>2</v>
      </c>
      <c r="B6" s="813" t="s">
        <v>3</v>
      </c>
      <c r="C6" s="814" t="s">
        <v>843</v>
      </c>
      <c r="D6" s="814" t="s">
        <v>844</v>
      </c>
      <c r="E6" s="814" t="s">
        <v>845</v>
      </c>
      <c r="F6" s="814" t="s">
        <v>846</v>
      </c>
      <c r="G6" s="814" t="s">
        <v>1004</v>
      </c>
    </row>
    <row r="7" spans="1:8" s="810" customFormat="1" ht="15" x14ac:dyDescent="0.25">
      <c r="A7" s="812" t="s">
        <v>248</v>
      </c>
      <c r="B7" s="812" t="s">
        <v>249</v>
      </c>
      <c r="C7" s="812" t="s">
        <v>250</v>
      </c>
      <c r="D7" s="812" t="s">
        <v>251</v>
      </c>
      <c r="E7" s="812" t="s">
        <v>252</v>
      </c>
      <c r="F7" s="812" t="s">
        <v>253</v>
      </c>
      <c r="G7" s="812" t="s">
        <v>254</v>
      </c>
    </row>
    <row r="8" spans="1:8" s="227" customFormat="1" ht="21" customHeight="1" x14ac:dyDescent="0.2">
      <c r="A8" s="233">
        <v>1</v>
      </c>
      <c r="B8" s="173" t="s">
        <v>647</v>
      </c>
      <c r="C8" s="902">
        <f>'AT-3'!G9</f>
        <v>3154</v>
      </c>
      <c r="D8" s="903">
        <v>2190</v>
      </c>
      <c r="E8" s="662">
        <v>949</v>
      </c>
      <c r="F8" s="904">
        <v>1241</v>
      </c>
      <c r="G8" s="1014">
        <f>D8-(E8+F8)</f>
        <v>0</v>
      </c>
      <c r="H8" s="273"/>
    </row>
    <row r="9" spans="1:8" s="227" customFormat="1" ht="21" customHeight="1" x14ac:dyDescent="0.2">
      <c r="A9" s="233">
        <v>2</v>
      </c>
      <c r="B9" s="173" t="s">
        <v>648</v>
      </c>
      <c r="C9" s="902">
        <f>'AT-3'!G10</f>
        <v>2701</v>
      </c>
      <c r="D9" s="300">
        <v>2701</v>
      </c>
      <c r="E9" s="300">
        <v>610</v>
      </c>
      <c r="F9" s="300">
        <v>2091</v>
      </c>
      <c r="G9" s="1014">
        <f t="shared" ref="G9:G20" si="0">D9-(E9+F9)</f>
        <v>0</v>
      </c>
      <c r="H9" s="273"/>
    </row>
    <row r="10" spans="1:8" s="227" customFormat="1" ht="21" customHeight="1" x14ac:dyDescent="0.2">
      <c r="A10" s="233">
        <v>3</v>
      </c>
      <c r="B10" s="173" t="s">
        <v>649</v>
      </c>
      <c r="C10" s="902">
        <f>'AT-3'!G11</f>
        <v>3863</v>
      </c>
      <c r="D10" s="300">
        <v>938</v>
      </c>
      <c r="E10" s="300">
        <v>516</v>
      </c>
      <c r="F10" s="300">
        <v>422</v>
      </c>
      <c r="G10" s="1014">
        <f t="shared" si="0"/>
        <v>0</v>
      </c>
      <c r="H10" s="273"/>
    </row>
    <row r="11" spans="1:8" s="227" customFormat="1" ht="21" customHeight="1" x14ac:dyDescent="0.2">
      <c r="A11" s="233">
        <v>4</v>
      </c>
      <c r="B11" s="173" t="s">
        <v>650</v>
      </c>
      <c r="C11" s="902">
        <f>'AT-3'!G12</f>
        <v>4264</v>
      </c>
      <c r="D11" s="300">
        <v>1184</v>
      </c>
      <c r="E11" s="300">
        <v>450</v>
      </c>
      <c r="F11" s="300">
        <v>329</v>
      </c>
      <c r="G11" s="1014">
        <f t="shared" si="0"/>
        <v>405</v>
      </c>
      <c r="H11" s="273"/>
    </row>
    <row r="12" spans="1:8" s="227" customFormat="1" ht="21" customHeight="1" x14ac:dyDescent="0.2">
      <c r="A12" s="233">
        <v>5</v>
      </c>
      <c r="B12" s="173" t="s">
        <v>651</v>
      </c>
      <c r="C12" s="902">
        <f>'AT-3'!G13</f>
        <v>3242</v>
      </c>
      <c r="D12" s="300">
        <v>3242</v>
      </c>
      <c r="E12" s="300">
        <v>0</v>
      </c>
      <c r="F12" s="300">
        <v>3242</v>
      </c>
      <c r="G12" s="1014">
        <f t="shared" si="0"/>
        <v>0</v>
      </c>
      <c r="H12" s="273"/>
    </row>
    <row r="13" spans="1:8" s="227" customFormat="1" ht="21" customHeight="1" x14ac:dyDescent="0.2">
      <c r="A13" s="233">
        <v>6</v>
      </c>
      <c r="B13" s="173" t="s">
        <v>652</v>
      </c>
      <c r="C13" s="902">
        <f>'AT-3'!G14</f>
        <v>3120</v>
      </c>
      <c r="D13" s="300">
        <v>573</v>
      </c>
      <c r="E13" s="300">
        <v>361</v>
      </c>
      <c r="F13" s="300">
        <v>212</v>
      </c>
      <c r="G13" s="1014">
        <f t="shared" si="0"/>
        <v>0</v>
      </c>
      <c r="H13" s="273"/>
    </row>
    <row r="14" spans="1:8" s="227" customFormat="1" ht="21" customHeight="1" x14ac:dyDescent="0.2">
      <c r="A14" s="233">
        <v>7</v>
      </c>
      <c r="B14" s="173" t="s">
        <v>653</v>
      </c>
      <c r="C14" s="902">
        <f>'AT-3'!G15</f>
        <v>3497</v>
      </c>
      <c r="D14" s="300">
        <v>585</v>
      </c>
      <c r="E14" s="300">
        <v>35</v>
      </c>
      <c r="F14" s="300">
        <v>35</v>
      </c>
      <c r="G14" s="1014">
        <f t="shared" si="0"/>
        <v>515</v>
      </c>
      <c r="H14" s="273"/>
    </row>
    <row r="15" spans="1:8" s="227" customFormat="1" ht="21" customHeight="1" x14ac:dyDescent="0.2">
      <c r="A15" s="233">
        <v>8</v>
      </c>
      <c r="B15" s="173" t="s">
        <v>654</v>
      </c>
      <c r="C15" s="902">
        <f>'AT-3'!G16</f>
        <v>3367</v>
      </c>
      <c r="D15" s="300">
        <v>88</v>
      </c>
      <c r="E15" s="300">
        <v>21</v>
      </c>
      <c r="F15" s="300">
        <v>67</v>
      </c>
      <c r="G15" s="1014">
        <f t="shared" si="0"/>
        <v>0</v>
      </c>
      <c r="H15" s="273"/>
    </row>
    <row r="16" spans="1:8" s="227" customFormat="1" ht="21" customHeight="1" x14ac:dyDescent="0.2">
      <c r="A16" s="233">
        <v>9</v>
      </c>
      <c r="B16" s="173" t="s">
        <v>655</v>
      </c>
      <c r="C16" s="902">
        <f>'AT-3'!G17</f>
        <v>3425</v>
      </c>
      <c r="D16" s="300">
        <v>180</v>
      </c>
      <c r="E16" s="300">
        <v>0</v>
      </c>
      <c r="F16" s="300">
        <v>35</v>
      </c>
      <c r="G16" s="1014">
        <f t="shared" si="0"/>
        <v>145</v>
      </c>
      <c r="H16" s="273"/>
    </row>
    <row r="17" spans="1:8" s="227" customFormat="1" ht="21" customHeight="1" x14ac:dyDescent="0.2">
      <c r="A17" s="233">
        <v>10</v>
      </c>
      <c r="B17" s="173" t="s">
        <v>656</v>
      </c>
      <c r="C17" s="902">
        <f>'AT-3'!G18</f>
        <v>4816</v>
      </c>
      <c r="D17" s="300">
        <v>800</v>
      </c>
      <c r="E17" s="300">
        <v>239</v>
      </c>
      <c r="F17" s="300">
        <v>561</v>
      </c>
      <c r="G17" s="1014">
        <f t="shared" si="0"/>
        <v>0</v>
      </c>
      <c r="H17" s="273"/>
    </row>
    <row r="18" spans="1:8" s="227" customFormat="1" ht="21" customHeight="1" x14ac:dyDescent="0.2">
      <c r="A18" s="233">
        <v>11</v>
      </c>
      <c r="B18" s="173" t="s">
        <v>657</v>
      </c>
      <c r="C18" s="902">
        <f>'AT-3'!G19</f>
        <v>3369</v>
      </c>
      <c r="D18" s="300">
        <v>65</v>
      </c>
      <c r="E18" s="300">
        <v>0</v>
      </c>
      <c r="F18" s="300">
        <v>4</v>
      </c>
      <c r="G18" s="1014">
        <f t="shared" si="0"/>
        <v>61</v>
      </c>
      <c r="H18" s="273"/>
    </row>
    <row r="19" spans="1:8" s="227" customFormat="1" ht="21" customHeight="1" x14ac:dyDescent="0.2">
      <c r="A19" s="233">
        <v>12</v>
      </c>
      <c r="B19" s="173" t="s">
        <v>658</v>
      </c>
      <c r="C19" s="902">
        <f>'AT-3'!G20</f>
        <v>3818</v>
      </c>
      <c r="D19" s="300">
        <v>37</v>
      </c>
      <c r="E19" s="300">
        <v>0</v>
      </c>
      <c r="F19" s="300">
        <v>12</v>
      </c>
      <c r="G19" s="1014">
        <f t="shared" si="0"/>
        <v>25</v>
      </c>
      <c r="H19" s="273"/>
    </row>
    <row r="20" spans="1:8" s="227" customFormat="1" ht="21" customHeight="1" x14ac:dyDescent="0.2">
      <c r="A20" s="233">
        <v>13</v>
      </c>
      <c r="B20" s="173" t="s">
        <v>659</v>
      </c>
      <c r="C20" s="902">
        <f>'AT-3'!G21</f>
        <v>2869</v>
      </c>
      <c r="D20" s="300">
        <v>164</v>
      </c>
      <c r="E20" s="300">
        <v>0</v>
      </c>
      <c r="F20" s="300">
        <v>164</v>
      </c>
      <c r="G20" s="1014">
        <f t="shared" si="0"/>
        <v>0</v>
      </c>
      <c r="H20" s="273"/>
    </row>
    <row r="21" spans="1:8" s="228" customFormat="1" ht="24.75" customHeight="1" x14ac:dyDescent="0.2">
      <c r="A21" s="1414" t="s">
        <v>660</v>
      </c>
      <c r="B21" s="1414"/>
      <c r="C21" s="901">
        <f>SUM(C8:C20)</f>
        <v>45505</v>
      </c>
      <c r="D21" s="901">
        <f t="shared" ref="D21:G21" si="1">SUM(D8:D20)</f>
        <v>12747</v>
      </c>
      <c r="E21" s="901">
        <f t="shared" si="1"/>
        <v>3181</v>
      </c>
      <c r="F21" s="901">
        <f t="shared" si="1"/>
        <v>8415</v>
      </c>
      <c r="G21" s="901">
        <f t="shared" si="1"/>
        <v>1151</v>
      </c>
      <c r="H21" s="880"/>
    </row>
    <row r="22" spans="1:8" s="227" customFormat="1" ht="15.75" customHeight="1" x14ac:dyDescent="0.2">
      <c r="A22" s="228"/>
      <c r="B22" s="228"/>
      <c r="C22" s="228"/>
      <c r="D22" s="228"/>
      <c r="E22" s="228"/>
      <c r="F22" s="228"/>
      <c r="G22" s="228"/>
    </row>
    <row r="23" spans="1:8" s="227" customFormat="1" ht="60" customHeight="1" x14ac:dyDescent="0.2">
      <c r="A23" s="1332" t="s">
        <v>676</v>
      </c>
      <c r="B23" s="1332"/>
      <c r="C23" s="234"/>
      <c r="D23" s="235"/>
      <c r="E23" s="235"/>
      <c r="F23" s="1433" t="s">
        <v>646</v>
      </c>
      <c r="G23" s="1433"/>
    </row>
  </sheetData>
  <mergeCells count="8">
    <mergeCell ref="A21:B21"/>
    <mergeCell ref="A23:B23"/>
    <mergeCell ref="F23:G23"/>
    <mergeCell ref="A1:F1"/>
    <mergeCell ref="A2:G2"/>
    <mergeCell ref="A4:G4"/>
    <mergeCell ref="F5:G5"/>
    <mergeCell ref="A5:C5"/>
  </mergeCells>
  <printOptions horizontalCentered="1"/>
  <pageMargins left="0.70866141732283472" right="7.874015748031496E-2" top="0.31496062992125984" bottom="0.19685039370078741" header="7.874015748031496E-2" footer="7.874015748031496E-2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26"/>
  <sheetViews>
    <sheetView view="pageBreakPreview" topLeftCell="A8" zoomScaleSheetLayoutView="100" workbookViewId="0">
      <selection activeCell="P24" sqref="P24"/>
    </sheetView>
  </sheetViews>
  <sheetFormatPr defaultRowHeight="12.75" x14ac:dyDescent="0.2"/>
  <cols>
    <col min="1" max="1" width="8.28515625" customWidth="1"/>
    <col min="2" max="2" width="18.140625" customWidth="1"/>
    <col min="3" max="3" width="10.7109375" customWidth="1"/>
    <col min="4" max="4" width="12.7109375" customWidth="1"/>
    <col min="5" max="5" width="10.5703125" customWidth="1"/>
    <col min="6" max="6" width="12.42578125" customWidth="1"/>
    <col min="7" max="7" width="7.5703125" customWidth="1"/>
    <col min="8" max="8" width="7.85546875" customWidth="1"/>
    <col min="9" max="9" width="11.140625" customWidth="1"/>
    <col min="10" max="10" width="11" customWidth="1"/>
    <col min="11" max="11" width="11.140625" customWidth="1"/>
    <col min="12" max="12" width="10.85546875" customWidth="1"/>
    <col min="13" max="13" width="8.42578125" customWidth="1"/>
    <col min="14" max="14" width="7.7109375" customWidth="1"/>
    <col min="257" max="257" width="8.28515625" customWidth="1"/>
    <col min="258" max="258" width="10.140625" customWidth="1"/>
    <col min="259" max="259" width="8.7109375" customWidth="1"/>
    <col min="260" max="260" width="12.7109375" customWidth="1"/>
    <col min="261" max="261" width="10.5703125" customWidth="1"/>
    <col min="262" max="262" width="12.42578125" customWidth="1"/>
    <col min="263" max="263" width="7.5703125" customWidth="1"/>
    <col min="264" max="264" width="7.85546875" customWidth="1"/>
    <col min="265" max="265" width="10" customWidth="1"/>
    <col min="268" max="268" width="10.85546875" customWidth="1"/>
    <col min="513" max="513" width="8.28515625" customWidth="1"/>
    <col min="514" max="514" width="10.140625" customWidth="1"/>
    <col min="515" max="515" width="8.7109375" customWidth="1"/>
    <col min="516" max="516" width="12.7109375" customWidth="1"/>
    <col min="517" max="517" width="10.5703125" customWidth="1"/>
    <col min="518" max="518" width="12.42578125" customWidth="1"/>
    <col min="519" max="519" width="7.5703125" customWidth="1"/>
    <col min="520" max="520" width="7.85546875" customWidth="1"/>
    <col min="521" max="521" width="10" customWidth="1"/>
    <col min="524" max="524" width="10.85546875" customWidth="1"/>
    <col min="769" max="769" width="8.28515625" customWidth="1"/>
    <col min="770" max="770" width="10.140625" customWidth="1"/>
    <col min="771" max="771" width="8.7109375" customWidth="1"/>
    <col min="772" max="772" width="12.7109375" customWidth="1"/>
    <col min="773" max="773" width="10.5703125" customWidth="1"/>
    <col min="774" max="774" width="12.42578125" customWidth="1"/>
    <col min="775" max="775" width="7.5703125" customWidth="1"/>
    <col min="776" max="776" width="7.85546875" customWidth="1"/>
    <col min="777" max="777" width="10" customWidth="1"/>
    <col min="780" max="780" width="10.85546875" customWidth="1"/>
    <col min="1025" max="1025" width="8.28515625" customWidth="1"/>
    <col min="1026" max="1026" width="10.140625" customWidth="1"/>
    <col min="1027" max="1027" width="8.7109375" customWidth="1"/>
    <col min="1028" max="1028" width="12.7109375" customWidth="1"/>
    <col min="1029" max="1029" width="10.5703125" customWidth="1"/>
    <col min="1030" max="1030" width="12.42578125" customWidth="1"/>
    <col min="1031" max="1031" width="7.5703125" customWidth="1"/>
    <col min="1032" max="1032" width="7.85546875" customWidth="1"/>
    <col min="1033" max="1033" width="10" customWidth="1"/>
    <col min="1036" max="1036" width="10.85546875" customWidth="1"/>
    <col min="1281" max="1281" width="8.28515625" customWidth="1"/>
    <col min="1282" max="1282" width="10.140625" customWidth="1"/>
    <col min="1283" max="1283" width="8.7109375" customWidth="1"/>
    <col min="1284" max="1284" width="12.7109375" customWidth="1"/>
    <col min="1285" max="1285" width="10.5703125" customWidth="1"/>
    <col min="1286" max="1286" width="12.42578125" customWidth="1"/>
    <col min="1287" max="1287" width="7.5703125" customWidth="1"/>
    <col min="1288" max="1288" width="7.85546875" customWidth="1"/>
    <col min="1289" max="1289" width="10" customWidth="1"/>
    <col min="1292" max="1292" width="10.85546875" customWidth="1"/>
    <col min="1537" max="1537" width="8.28515625" customWidth="1"/>
    <col min="1538" max="1538" width="10.140625" customWidth="1"/>
    <col min="1539" max="1539" width="8.7109375" customWidth="1"/>
    <col min="1540" max="1540" width="12.7109375" customWidth="1"/>
    <col min="1541" max="1541" width="10.5703125" customWidth="1"/>
    <col min="1542" max="1542" width="12.42578125" customWidth="1"/>
    <col min="1543" max="1543" width="7.5703125" customWidth="1"/>
    <col min="1544" max="1544" width="7.85546875" customWidth="1"/>
    <col min="1545" max="1545" width="10" customWidth="1"/>
    <col min="1548" max="1548" width="10.85546875" customWidth="1"/>
    <col min="1793" max="1793" width="8.28515625" customWidth="1"/>
    <col min="1794" max="1794" width="10.140625" customWidth="1"/>
    <col min="1795" max="1795" width="8.7109375" customWidth="1"/>
    <col min="1796" max="1796" width="12.7109375" customWidth="1"/>
    <col min="1797" max="1797" width="10.5703125" customWidth="1"/>
    <col min="1798" max="1798" width="12.42578125" customWidth="1"/>
    <col min="1799" max="1799" width="7.5703125" customWidth="1"/>
    <col min="1800" max="1800" width="7.85546875" customWidth="1"/>
    <col min="1801" max="1801" width="10" customWidth="1"/>
    <col min="1804" max="1804" width="10.85546875" customWidth="1"/>
    <col min="2049" max="2049" width="8.28515625" customWidth="1"/>
    <col min="2050" max="2050" width="10.140625" customWidth="1"/>
    <col min="2051" max="2051" width="8.7109375" customWidth="1"/>
    <col min="2052" max="2052" width="12.7109375" customWidth="1"/>
    <col min="2053" max="2053" width="10.5703125" customWidth="1"/>
    <col min="2054" max="2054" width="12.42578125" customWidth="1"/>
    <col min="2055" max="2055" width="7.5703125" customWidth="1"/>
    <col min="2056" max="2056" width="7.85546875" customWidth="1"/>
    <col min="2057" max="2057" width="10" customWidth="1"/>
    <col min="2060" max="2060" width="10.85546875" customWidth="1"/>
    <col min="2305" max="2305" width="8.28515625" customWidth="1"/>
    <col min="2306" max="2306" width="10.140625" customWidth="1"/>
    <col min="2307" max="2307" width="8.7109375" customWidth="1"/>
    <col min="2308" max="2308" width="12.7109375" customWidth="1"/>
    <col min="2309" max="2309" width="10.5703125" customWidth="1"/>
    <col min="2310" max="2310" width="12.42578125" customWidth="1"/>
    <col min="2311" max="2311" width="7.5703125" customWidth="1"/>
    <col min="2312" max="2312" width="7.85546875" customWidth="1"/>
    <col min="2313" max="2313" width="10" customWidth="1"/>
    <col min="2316" max="2316" width="10.85546875" customWidth="1"/>
    <col min="2561" max="2561" width="8.28515625" customWidth="1"/>
    <col min="2562" max="2562" width="10.140625" customWidth="1"/>
    <col min="2563" max="2563" width="8.7109375" customWidth="1"/>
    <col min="2564" max="2564" width="12.7109375" customWidth="1"/>
    <col min="2565" max="2565" width="10.5703125" customWidth="1"/>
    <col min="2566" max="2566" width="12.42578125" customWidth="1"/>
    <col min="2567" max="2567" width="7.5703125" customWidth="1"/>
    <col min="2568" max="2568" width="7.85546875" customWidth="1"/>
    <col min="2569" max="2569" width="10" customWidth="1"/>
    <col min="2572" max="2572" width="10.85546875" customWidth="1"/>
    <col min="2817" max="2817" width="8.28515625" customWidth="1"/>
    <col min="2818" max="2818" width="10.140625" customWidth="1"/>
    <col min="2819" max="2819" width="8.7109375" customWidth="1"/>
    <col min="2820" max="2820" width="12.7109375" customWidth="1"/>
    <col min="2821" max="2821" width="10.5703125" customWidth="1"/>
    <col min="2822" max="2822" width="12.42578125" customWidth="1"/>
    <col min="2823" max="2823" width="7.5703125" customWidth="1"/>
    <col min="2824" max="2824" width="7.85546875" customWidth="1"/>
    <col min="2825" max="2825" width="10" customWidth="1"/>
    <col min="2828" max="2828" width="10.85546875" customWidth="1"/>
    <col min="3073" max="3073" width="8.28515625" customWidth="1"/>
    <col min="3074" max="3074" width="10.140625" customWidth="1"/>
    <col min="3075" max="3075" width="8.7109375" customWidth="1"/>
    <col min="3076" max="3076" width="12.7109375" customWidth="1"/>
    <col min="3077" max="3077" width="10.5703125" customWidth="1"/>
    <col min="3078" max="3078" width="12.42578125" customWidth="1"/>
    <col min="3079" max="3079" width="7.5703125" customWidth="1"/>
    <col min="3080" max="3080" width="7.85546875" customWidth="1"/>
    <col min="3081" max="3081" width="10" customWidth="1"/>
    <col min="3084" max="3084" width="10.85546875" customWidth="1"/>
    <col min="3329" max="3329" width="8.28515625" customWidth="1"/>
    <col min="3330" max="3330" width="10.140625" customWidth="1"/>
    <col min="3331" max="3331" width="8.7109375" customWidth="1"/>
    <col min="3332" max="3332" width="12.7109375" customWidth="1"/>
    <col min="3333" max="3333" width="10.5703125" customWidth="1"/>
    <col min="3334" max="3334" width="12.42578125" customWidth="1"/>
    <col min="3335" max="3335" width="7.5703125" customWidth="1"/>
    <col min="3336" max="3336" width="7.85546875" customWidth="1"/>
    <col min="3337" max="3337" width="10" customWidth="1"/>
    <col min="3340" max="3340" width="10.85546875" customWidth="1"/>
    <col min="3585" max="3585" width="8.28515625" customWidth="1"/>
    <col min="3586" max="3586" width="10.140625" customWidth="1"/>
    <col min="3587" max="3587" width="8.7109375" customWidth="1"/>
    <col min="3588" max="3588" width="12.7109375" customWidth="1"/>
    <col min="3589" max="3589" width="10.5703125" customWidth="1"/>
    <col min="3590" max="3590" width="12.42578125" customWidth="1"/>
    <col min="3591" max="3591" width="7.5703125" customWidth="1"/>
    <col min="3592" max="3592" width="7.85546875" customWidth="1"/>
    <col min="3593" max="3593" width="10" customWidth="1"/>
    <col min="3596" max="3596" width="10.85546875" customWidth="1"/>
    <col min="3841" max="3841" width="8.28515625" customWidth="1"/>
    <col min="3842" max="3842" width="10.140625" customWidth="1"/>
    <col min="3843" max="3843" width="8.7109375" customWidth="1"/>
    <col min="3844" max="3844" width="12.7109375" customWidth="1"/>
    <col min="3845" max="3845" width="10.5703125" customWidth="1"/>
    <col min="3846" max="3846" width="12.42578125" customWidth="1"/>
    <col min="3847" max="3847" width="7.5703125" customWidth="1"/>
    <col min="3848" max="3848" width="7.85546875" customWidth="1"/>
    <col min="3849" max="3849" width="10" customWidth="1"/>
    <col min="3852" max="3852" width="10.85546875" customWidth="1"/>
    <col min="4097" max="4097" width="8.28515625" customWidth="1"/>
    <col min="4098" max="4098" width="10.140625" customWidth="1"/>
    <col min="4099" max="4099" width="8.7109375" customWidth="1"/>
    <col min="4100" max="4100" width="12.7109375" customWidth="1"/>
    <col min="4101" max="4101" width="10.5703125" customWidth="1"/>
    <col min="4102" max="4102" width="12.42578125" customWidth="1"/>
    <col min="4103" max="4103" width="7.5703125" customWidth="1"/>
    <col min="4104" max="4104" width="7.85546875" customWidth="1"/>
    <col min="4105" max="4105" width="10" customWidth="1"/>
    <col min="4108" max="4108" width="10.85546875" customWidth="1"/>
    <col min="4353" max="4353" width="8.28515625" customWidth="1"/>
    <col min="4354" max="4354" width="10.140625" customWidth="1"/>
    <col min="4355" max="4355" width="8.7109375" customWidth="1"/>
    <col min="4356" max="4356" width="12.7109375" customWidth="1"/>
    <col min="4357" max="4357" width="10.5703125" customWidth="1"/>
    <col min="4358" max="4358" width="12.42578125" customWidth="1"/>
    <col min="4359" max="4359" width="7.5703125" customWidth="1"/>
    <col min="4360" max="4360" width="7.85546875" customWidth="1"/>
    <col min="4361" max="4361" width="10" customWidth="1"/>
    <col min="4364" max="4364" width="10.85546875" customWidth="1"/>
    <col min="4609" max="4609" width="8.28515625" customWidth="1"/>
    <col min="4610" max="4610" width="10.140625" customWidth="1"/>
    <col min="4611" max="4611" width="8.7109375" customWidth="1"/>
    <col min="4612" max="4612" width="12.7109375" customWidth="1"/>
    <col min="4613" max="4613" width="10.5703125" customWidth="1"/>
    <col min="4614" max="4614" width="12.42578125" customWidth="1"/>
    <col min="4615" max="4615" width="7.5703125" customWidth="1"/>
    <col min="4616" max="4616" width="7.85546875" customWidth="1"/>
    <col min="4617" max="4617" width="10" customWidth="1"/>
    <col min="4620" max="4620" width="10.85546875" customWidth="1"/>
    <col min="4865" max="4865" width="8.28515625" customWidth="1"/>
    <col min="4866" max="4866" width="10.140625" customWidth="1"/>
    <col min="4867" max="4867" width="8.7109375" customWidth="1"/>
    <col min="4868" max="4868" width="12.7109375" customWidth="1"/>
    <col min="4869" max="4869" width="10.5703125" customWidth="1"/>
    <col min="4870" max="4870" width="12.42578125" customWidth="1"/>
    <col min="4871" max="4871" width="7.5703125" customWidth="1"/>
    <col min="4872" max="4872" width="7.85546875" customWidth="1"/>
    <col min="4873" max="4873" width="10" customWidth="1"/>
    <col min="4876" max="4876" width="10.85546875" customWidth="1"/>
    <col min="5121" max="5121" width="8.28515625" customWidth="1"/>
    <col min="5122" max="5122" width="10.140625" customWidth="1"/>
    <col min="5123" max="5123" width="8.7109375" customWidth="1"/>
    <col min="5124" max="5124" width="12.7109375" customWidth="1"/>
    <col min="5125" max="5125" width="10.5703125" customWidth="1"/>
    <col min="5126" max="5126" width="12.42578125" customWidth="1"/>
    <col min="5127" max="5127" width="7.5703125" customWidth="1"/>
    <col min="5128" max="5128" width="7.85546875" customWidth="1"/>
    <col min="5129" max="5129" width="10" customWidth="1"/>
    <col min="5132" max="5132" width="10.85546875" customWidth="1"/>
    <col min="5377" max="5377" width="8.28515625" customWidth="1"/>
    <col min="5378" max="5378" width="10.140625" customWidth="1"/>
    <col min="5379" max="5379" width="8.7109375" customWidth="1"/>
    <col min="5380" max="5380" width="12.7109375" customWidth="1"/>
    <col min="5381" max="5381" width="10.5703125" customWidth="1"/>
    <col min="5382" max="5382" width="12.42578125" customWidth="1"/>
    <col min="5383" max="5383" width="7.5703125" customWidth="1"/>
    <col min="5384" max="5384" width="7.85546875" customWidth="1"/>
    <col min="5385" max="5385" width="10" customWidth="1"/>
    <col min="5388" max="5388" width="10.85546875" customWidth="1"/>
    <col min="5633" max="5633" width="8.28515625" customWidth="1"/>
    <col min="5634" max="5634" width="10.140625" customWidth="1"/>
    <col min="5635" max="5635" width="8.7109375" customWidth="1"/>
    <col min="5636" max="5636" width="12.7109375" customWidth="1"/>
    <col min="5637" max="5637" width="10.5703125" customWidth="1"/>
    <col min="5638" max="5638" width="12.42578125" customWidth="1"/>
    <col min="5639" max="5639" width="7.5703125" customWidth="1"/>
    <col min="5640" max="5640" width="7.85546875" customWidth="1"/>
    <col min="5641" max="5641" width="10" customWidth="1"/>
    <col min="5644" max="5644" width="10.85546875" customWidth="1"/>
    <col min="5889" max="5889" width="8.28515625" customWidth="1"/>
    <col min="5890" max="5890" width="10.140625" customWidth="1"/>
    <col min="5891" max="5891" width="8.7109375" customWidth="1"/>
    <col min="5892" max="5892" width="12.7109375" customWidth="1"/>
    <col min="5893" max="5893" width="10.5703125" customWidth="1"/>
    <col min="5894" max="5894" width="12.42578125" customWidth="1"/>
    <col min="5895" max="5895" width="7.5703125" customWidth="1"/>
    <col min="5896" max="5896" width="7.85546875" customWidth="1"/>
    <col min="5897" max="5897" width="10" customWidth="1"/>
    <col min="5900" max="5900" width="10.85546875" customWidth="1"/>
    <col min="6145" max="6145" width="8.28515625" customWidth="1"/>
    <col min="6146" max="6146" width="10.140625" customWidth="1"/>
    <col min="6147" max="6147" width="8.7109375" customWidth="1"/>
    <col min="6148" max="6148" width="12.7109375" customWidth="1"/>
    <col min="6149" max="6149" width="10.5703125" customWidth="1"/>
    <col min="6150" max="6150" width="12.42578125" customWidth="1"/>
    <col min="6151" max="6151" width="7.5703125" customWidth="1"/>
    <col min="6152" max="6152" width="7.85546875" customWidth="1"/>
    <col min="6153" max="6153" width="10" customWidth="1"/>
    <col min="6156" max="6156" width="10.85546875" customWidth="1"/>
    <col min="6401" max="6401" width="8.28515625" customWidth="1"/>
    <col min="6402" max="6402" width="10.140625" customWidth="1"/>
    <col min="6403" max="6403" width="8.7109375" customWidth="1"/>
    <col min="6404" max="6404" width="12.7109375" customWidth="1"/>
    <col min="6405" max="6405" width="10.5703125" customWidth="1"/>
    <col min="6406" max="6406" width="12.42578125" customWidth="1"/>
    <col min="6407" max="6407" width="7.5703125" customWidth="1"/>
    <col min="6408" max="6408" width="7.85546875" customWidth="1"/>
    <col min="6409" max="6409" width="10" customWidth="1"/>
    <col min="6412" max="6412" width="10.85546875" customWidth="1"/>
    <col min="6657" max="6657" width="8.28515625" customWidth="1"/>
    <col min="6658" max="6658" width="10.140625" customWidth="1"/>
    <col min="6659" max="6659" width="8.7109375" customWidth="1"/>
    <col min="6660" max="6660" width="12.7109375" customWidth="1"/>
    <col min="6661" max="6661" width="10.5703125" customWidth="1"/>
    <col min="6662" max="6662" width="12.42578125" customWidth="1"/>
    <col min="6663" max="6663" width="7.5703125" customWidth="1"/>
    <col min="6664" max="6664" width="7.85546875" customWidth="1"/>
    <col min="6665" max="6665" width="10" customWidth="1"/>
    <col min="6668" max="6668" width="10.85546875" customWidth="1"/>
    <col min="6913" max="6913" width="8.28515625" customWidth="1"/>
    <col min="6914" max="6914" width="10.140625" customWidth="1"/>
    <col min="6915" max="6915" width="8.7109375" customWidth="1"/>
    <col min="6916" max="6916" width="12.7109375" customWidth="1"/>
    <col min="6917" max="6917" width="10.5703125" customWidth="1"/>
    <col min="6918" max="6918" width="12.42578125" customWidth="1"/>
    <col min="6919" max="6919" width="7.5703125" customWidth="1"/>
    <col min="6920" max="6920" width="7.85546875" customWidth="1"/>
    <col min="6921" max="6921" width="10" customWidth="1"/>
    <col min="6924" max="6924" width="10.85546875" customWidth="1"/>
    <col min="7169" max="7169" width="8.28515625" customWidth="1"/>
    <col min="7170" max="7170" width="10.140625" customWidth="1"/>
    <col min="7171" max="7171" width="8.7109375" customWidth="1"/>
    <col min="7172" max="7172" width="12.7109375" customWidth="1"/>
    <col min="7173" max="7173" width="10.5703125" customWidth="1"/>
    <col min="7174" max="7174" width="12.42578125" customWidth="1"/>
    <col min="7175" max="7175" width="7.5703125" customWidth="1"/>
    <col min="7176" max="7176" width="7.85546875" customWidth="1"/>
    <col min="7177" max="7177" width="10" customWidth="1"/>
    <col min="7180" max="7180" width="10.85546875" customWidth="1"/>
    <col min="7425" max="7425" width="8.28515625" customWidth="1"/>
    <col min="7426" max="7426" width="10.140625" customWidth="1"/>
    <col min="7427" max="7427" width="8.7109375" customWidth="1"/>
    <col min="7428" max="7428" width="12.7109375" customWidth="1"/>
    <col min="7429" max="7429" width="10.5703125" customWidth="1"/>
    <col min="7430" max="7430" width="12.42578125" customWidth="1"/>
    <col min="7431" max="7431" width="7.5703125" customWidth="1"/>
    <col min="7432" max="7432" width="7.85546875" customWidth="1"/>
    <col min="7433" max="7433" width="10" customWidth="1"/>
    <col min="7436" max="7436" width="10.85546875" customWidth="1"/>
    <col min="7681" max="7681" width="8.28515625" customWidth="1"/>
    <col min="7682" max="7682" width="10.140625" customWidth="1"/>
    <col min="7683" max="7683" width="8.7109375" customWidth="1"/>
    <col min="7684" max="7684" width="12.7109375" customWidth="1"/>
    <col min="7685" max="7685" width="10.5703125" customWidth="1"/>
    <col min="7686" max="7686" width="12.42578125" customWidth="1"/>
    <col min="7687" max="7687" width="7.5703125" customWidth="1"/>
    <col min="7688" max="7688" width="7.85546875" customWidth="1"/>
    <col min="7689" max="7689" width="10" customWidth="1"/>
    <col min="7692" max="7692" width="10.85546875" customWidth="1"/>
    <col min="7937" max="7937" width="8.28515625" customWidth="1"/>
    <col min="7938" max="7938" width="10.140625" customWidth="1"/>
    <col min="7939" max="7939" width="8.7109375" customWidth="1"/>
    <col min="7940" max="7940" width="12.7109375" customWidth="1"/>
    <col min="7941" max="7941" width="10.5703125" customWidth="1"/>
    <col min="7942" max="7942" width="12.42578125" customWidth="1"/>
    <col min="7943" max="7943" width="7.5703125" customWidth="1"/>
    <col min="7944" max="7944" width="7.85546875" customWidth="1"/>
    <col min="7945" max="7945" width="10" customWidth="1"/>
    <col min="7948" max="7948" width="10.85546875" customWidth="1"/>
    <col min="8193" max="8193" width="8.28515625" customWidth="1"/>
    <col min="8194" max="8194" width="10.140625" customWidth="1"/>
    <col min="8195" max="8195" width="8.7109375" customWidth="1"/>
    <col min="8196" max="8196" width="12.7109375" customWidth="1"/>
    <col min="8197" max="8197" width="10.5703125" customWidth="1"/>
    <col min="8198" max="8198" width="12.42578125" customWidth="1"/>
    <col min="8199" max="8199" width="7.5703125" customWidth="1"/>
    <col min="8200" max="8200" width="7.85546875" customWidth="1"/>
    <col min="8201" max="8201" width="10" customWidth="1"/>
    <col min="8204" max="8204" width="10.85546875" customWidth="1"/>
    <col min="8449" max="8449" width="8.28515625" customWidth="1"/>
    <col min="8450" max="8450" width="10.140625" customWidth="1"/>
    <col min="8451" max="8451" width="8.7109375" customWidth="1"/>
    <col min="8452" max="8452" width="12.7109375" customWidth="1"/>
    <col min="8453" max="8453" width="10.5703125" customWidth="1"/>
    <col min="8454" max="8454" width="12.42578125" customWidth="1"/>
    <col min="8455" max="8455" width="7.5703125" customWidth="1"/>
    <col min="8456" max="8456" width="7.85546875" customWidth="1"/>
    <col min="8457" max="8457" width="10" customWidth="1"/>
    <col min="8460" max="8460" width="10.85546875" customWidth="1"/>
    <col min="8705" max="8705" width="8.28515625" customWidth="1"/>
    <col min="8706" max="8706" width="10.140625" customWidth="1"/>
    <col min="8707" max="8707" width="8.7109375" customWidth="1"/>
    <col min="8708" max="8708" width="12.7109375" customWidth="1"/>
    <col min="8709" max="8709" width="10.5703125" customWidth="1"/>
    <col min="8710" max="8710" width="12.42578125" customWidth="1"/>
    <col min="8711" max="8711" width="7.5703125" customWidth="1"/>
    <col min="8712" max="8712" width="7.85546875" customWidth="1"/>
    <col min="8713" max="8713" width="10" customWidth="1"/>
    <col min="8716" max="8716" width="10.85546875" customWidth="1"/>
    <col min="8961" max="8961" width="8.28515625" customWidth="1"/>
    <col min="8962" max="8962" width="10.140625" customWidth="1"/>
    <col min="8963" max="8963" width="8.7109375" customWidth="1"/>
    <col min="8964" max="8964" width="12.7109375" customWidth="1"/>
    <col min="8965" max="8965" width="10.5703125" customWidth="1"/>
    <col min="8966" max="8966" width="12.42578125" customWidth="1"/>
    <col min="8967" max="8967" width="7.5703125" customWidth="1"/>
    <col min="8968" max="8968" width="7.85546875" customWidth="1"/>
    <col min="8969" max="8969" width="10" customWidth="1"/>
    <col min="8972" max="8972" width="10.85546875" customWidth="1"/>
    <col min="9217" max="9217" width="8.28515625" customWidth="1"/>
    <col min="9218" max="9218" width="10.140625" customWidth="1"/>
    <col min="9219" max="9219" width="8.7109375" customWidth="1"/>
    <col min="9220" max="9220" width="12.7109375" customWidth="1"/>
    <col min="9221" max="9221" width="10.5703125" customWidth="1"/>
    <col min="9222" max="9222" width="12.42578125" customWidth="1"/>
    <col min="9223" max="9223" width="7.5703125" customWidth="1"/>
    <col min="9224" max="9224" width="7.85546875" customWidth="1"/>
    <col min="9225" max="9225" width="10" customWidth="1"/>
    <col min="9228" max="9228" width="10.85546875" customWidth="1"/>
    <col min="9473" max="9473" width="8.28515625" customWidth="1"/>
    <col min="9474" max="9474" width="10.140625" customWidth="1"/>
    <col min="9475" max="9475" width="8.7109375" customWidth="1"/>
    <col min="9476" max="9476" width="12.7109375" customWidth="1"/>
    <col min="9477" max="9477" width="10.5703125" customWidth="1"/>
    <col min="9478" max="9478" width="12.42578125" customWidth="1"/>
    <col min="9479" max="9479" width="7.5703125" customWidth="1"/>
    <col min="9480" max="9480" width="7.85546875" customWidth="1"/>
    <col min="9481" max="9481" width="10" customWidth="1"/>
    <col min="9484" max="9484" width="10.85546875" customWidth="1"/>
    <col min="9729" max="9729" width="8.28515625" customWidth="1"/>
    <col min="9730" max="9730" width="10.140625" customWidth="1"/>
    <col min="9731" max="9731" width="8.7109375" customWidth="1"/>
    <col min="9732" max="9732" width="12.7109375" customWidth="1"/>
    <col min="9733" max="9733" width="10.5703125" customWidth="1"/>
    <col min="9734" max="9734" width="12.42578125" customWidth="1"/>
    <col min="9735" max="9735" width="7.5703125" customWidth="1"/>
    <col min="9736" max="9736" width="7.85546875" customWidth="1"/>
    <col min="9737" max="9737" width="10" customWidth="1"/>
    <col min="9740" max="9740" width="10.85546875" customWidth="1"/>
    <col min="9985" max="9985" width="8.28515625" customWidth="1"/>
    <col min="9986" max="9986" width="10.140625" customWidth="1"/>
    <col min="9987" max="9987" width="8.7109375" customWidth="1"/>
    <col min="9988" max="9988" width="12.7109375" customWidth="1"/>
    <col min="9989" max="9989" width="10.5703125" customWidth="1"/>
    <col min="9990" max="9990" width="12.42578125" customWidth="1"/>
    <col min="9991" max="9991" width="7.5703125" customWidth="1"/>
    <col min="9992" max="9992" width="7.85546875" customWidth="1"/>
    <col min="9993" max="9993" width="10" customWidth="1"/>
    <col min="9996" max="9996" width="10.85546875" customWidth="1"/>
    <col min="10241" max="10241" width="8.28515625" customWidth="1"/>
    <col min="10242" max="10242" width="10.140625" customWidth="1"/>
    <col min="10243" max="10243" width="8.7109375" customWidth="1"/>
    <col min="10244" max="10244" width="12.7109375" customWidth="1"/>
    <col min="10245" max="10245" width="10.5703125" customWidth="1"/>
    <col min="10246" max="10246" width="12.42578125" customWidth="1"/>
    <col min="10247" max="10247" width="7.5703125" customWidth="1"/>
    <col min="10248" max="10248" width="7.85546875" customWidth="1"/>
    <col min="10249" max="10249" width="10" customWidth="1"/>
    <col min="10252" max="10252" width="10.85546875" customWidth="1"/>
    <col min="10497" max="10497" width="8.28515625" customWidth="1"/>
    <col min="10498" max="10498" width="10.140625" customWidth="1"/>
    <col min="10499" max="10499" width="8.7109375" customWidth="1"/>
    <col min="10500" max="10500" width="12.7109375" customWidth="1"/>
    <col min="10501" max="10501" width="10.5703125" customWidth="1"/>
    <col min="10502" max="10502" width="12.42578125" customWidth="1"/>
    <col min="10503" max="10503" width="7.5703125" customWidth="1"/>
    <col min="10504" max="10504" width="7.85546875" customWidth="1"/>
    <col min="10505" max="10505" width="10" customWidth="1"/>
    <col min="10508" max="10508" width="10.85546875" customWidth="1"/>
    <col min="10753" max="10753" width="8.28515625" customWidth="1"/>
    <col min="10754" max="10754" width="10.140625" customWidth="1"/>
    <col min="10755" max="10755" width="8.7109375" customWidth="1"/>
    <col min="10756" max="10756" width="12.7109375" customWidth="1"/>
    <col min="10757" max="10757" width="10.5703125" customWidth="1"/>
    <col min="10758" max="10758" width="12.42578125" customWidth="1"/>
    <col min="10759" max="10759" width="7.5703125" customWidth="1"/>
    <col min="10760" max="10760" width="7.85546875" customWidth="1"/>
    <col min="10761" max="10761" width="10" customWidth="1"/>
    <col min="10764" max="10764" width="10.85546875" customWidth="1"/>
    <col min="11009" max="11009" width="8.28515625" customWidth="1"/>
    <col min="11010" max="11010" width="10.140625" customWidth="1"/>
    <col min="11011" max="11011" width="8.7109375" customWidth="1"/>
    <col min="11012" max="11012" width="12.7109375" customWidth="1"/>
    <col min="11013" max="11013" width="10.5703125" customWidth="1"/>
    <col min="11014" max="11014" width="12.42578125" customWidth="1"/>
    <col min="11015" max="11015" width="7.5703125" customWidth="1"/>
    <col min="11016" max="11016" width="7.85546875" customWidth="1"/>
    <col min="11017" max="11017" width="10" customWidth="1"/>
    <col min="11020" max="11020" width="10.85546875" customWidth="1"/>
    <col min="11265" max="11265" width="8.28515625" customWidth="1"/>
    <col min="11266" max="11266" width="10.140625" customWidth="1"/>
    <col min="11267" max="11267" width="8.7109375" customWidth="1"/>
    <col min="11268" max="11268" width="12.7109375" customWidth="1"/>
    <col min="11269" max="11269" width="10.5703125" customWidth="1"/>
    <col min="11270" max="11270" width="12.42578125" customWidth="1"/>
    <col min="11271" max="11271" width="7.5703125" customWidth="1"/>
    <col min="11272" max="11272" width="7.85546875" customWidth="1"/>
    <col min="11273" max="11273" width="10" customWidth="1"/>
    <col min="11276" max="11276" width="10.85546875" customWidth="1"/>
    <col min="11521" max="11521" width="8.28515625" customWidth="1"/>
    <col min="11522" max="11522" width="10.140625" customWidth="1"/>
    <col min="11523" max="11523" width="8.7109375" customWidth="1"/>
    <col min="11524" max="11524" width="12.7109375" customWidth="1"/>
    <col min="11525" max="11525" width="10.5703125" customWidth="1"/>
    <col min="11526" max="11526" width="12.42578125" customWidth="1"/>
    <col min="11527" max="11527" width="7.5703125" customWidth="1"/>
    <col min="11528" max="11528" width="7.85546875" customWidth="1"/>
    <col min="11529" max="11529" width="10" customWidth="1"/>
    <col min="11532" max="11532" width="10.85546875" customWidth="1"/>
    <col min="11777" max="11777" width="8.28515625" customWidth="1"/>
    <col min="11778" max="11778" width="10.140625" customWidth="1"/>
    <col min="11779" max="11779" width="8.7109375" customWidth="1"/>
    <col min="11780" max="11780" width="12.7109375" customWidth="1"/>
    <col min="11781" max="11781" width="10.5703125" customWidth="1"/>
    <col min="11782" max="11782" width="12.42578125" customWidth="1"/>
    <col min="11783" max="11783" width="7.5703125" customWidth="1"/>
    <col min="11784" max="11784" width="7.85546875" customWidth="1"/>
    <col min="11785" max="11785" width="10" customWidth="1"/>
    <col min="11788" max="11788" width="10.85546875" customWidth="1"/>
    <col min="12033" max="12033" width="8.28515625" customWidth="1"/>
    <col min="12034" max="12034" width="10.140625" customWidth="1"/>
    <col min="12035" max="12035" width="8.7109375" customWidth="1"/>
    <col min="12036" max="12036" width="12.7109375" customWidth="1"/>
    <col min="12037" max="12037" width="10.5703125" customWidth="1"/>
    <col min="12038" max="12038" width="12.42578125" customWidth="1"/>
    <col min="12039" max="12039" width="7.5703125" customWidth="1"/>
    <col min="12040" max="12040" width="7.85546875" customWidth="1"/>
    <col min="12041" max="12041" width="10" customWidth="1"/>
    <col min="12044" max="12044" width="10.85546875" customWidth="1"/>
    <col min="12289" max="12289" width="8.28515625" customWidth="1"/>
    <col min="12290" max="12290" width="10.140625" customWidth="1"/>
    <col min="12291" max="12291" width="8.7109375" customWidth="1"/>
    <col min="12292" max="12292" width="12.7109375" customWidth="1"/>
    <col min="12293" max="12293" width="10.5703125" customWidth="1"/>
    <col min="12294" max="12294" width="12.42578125" customWidth="1"/>
    <col min="12295" max="12295" width="7.5703125" customWidth="1"/>
    <col min="12296" max="12296" width="7.85546875" customWidth="1"/>
    <col min="12297" max="12297" width="10" customWidth="1"/>
    <col min="12300" max="12300" width="10.85546875" customWidth="1"/>
    <col min="12545" max="12545" width="8.28515625" customWidth="1"/>
    <col min="12546" max="12546" width="10.140625" customWidth="1"/>
    <col min="12547" max="12547" width="8.7109375" customWidth="1"/>
    <col min="12548" max="12548" width="12.7109375" customWidth="1"/>
    <col min="12549" max="12549" width="10.5703125" customWidth="1"/>
    <col min="12550" max="12550" width="12.42578125" customWidth="1"/>
    <col min="12551" max="12551" width="7.5703125" customWidth="1"/>
    <col min="12552" max="12552" width="7.85546875" customWidth="1"/>
    <col min="12553" max="12553" width="10" customWidth="1"/>
    <col min="12556" max="12556" width="10.85546875" customWidth="1"/>
    <col min="12801" max="12801" width="8.28515625" customWidth="1"/>
    <col min="12802" max="12802" width="10.140625" customWidth="1"/>
    <col min="12803" max="12803" width="8.7109375" customWidth="1"/>
    <col min="12804" max="12804" width="12.7109375" customWidth="1"/>
    <col min="12805" max="12805" width="10.5703125" customWidth="1"/>
    <col min="12806" max="12806" width="12.42578125" customWidth="1"/>
    <col min="12807" max="12807" width="7.5703125" customWidth="1"/>
    <col min="12808" max="12808" width="7.85546875" customWidth="1"/>
    <col min="12809" max="12809" width="10" customWidth="1"/>
    <col min="12812" max="12812" width="10.85546875" customWidth="1"/>
    <col min="13057" max="13057" width="8.28515625" customWidth="1"/>
    <col min="13058" max="13058" width="10.140625" customWidth="1"/>
    <col min="13059" max="13059" width="8.7109375" customWidth="1"/>
    <col min="13060" max="13060" width="12.7109375" customWidth="1"/>
    <col min="13061" max="13061" width="10.5703125" customWidth="1"/>
    <col min="13062" max="13062" width="12.42578125" customWidth="1"/>
    <col min="13063" max="13063" width="7.5703125" customWidth="1"/>
    <col min="13064" max="13064" width="7.85546875" customWidth="1"/>
    <col min="13065" max="13065" width="10" customWidth="1"/>
    <col min="13068" max="13068" width="10.85546875" customWidth="1"/>
    <col min="13313" max="13313" width="8.28515625" customWidth="1"/>
    <col min="13314" max="13314" width="10.140625" customWidth="1"/>
    <col min="13315" max="13315" width="8.7109375" customWidth="1"/>
    <col min="13316" max="13316" width="12.7109375" customWidth="1"/>
    <col min="13317" max="13317" width="10.5703125" customWidth="1"/>
    <col min="13318" max="13318" width="12.42578125" customWidth="1"/>
    <col min="13319" max="13319" width="7.5703125" customWidth="1"/>
    <col min="13320" max="13320" width="7.85546875" customWidth="1"/>
    <col min="13321" max="13321" width="10" customWidth="1"/>
    <col min="13324" max="13324" width="10.85546875" customWidth="1"/>
    <col min="13569" max="13569" width="8.28515625" customWidth="1"/>
    <col min="13570" max="13570" width="10.140625" customWidth="1"/>
    <col min="13571" max="13571" width="8.7109375" customWidth="1"/>
    <col min="13572" max="13572" width="12.7109375" customWidth="1"/>
    <col min="13573" max="13573" width="10.5703125" customWidth="1"/>
    <col min="13574" max="13574" width="12.42578125" customWidth="1"/>
    <col min="13575" max="13575" width="7.5703125" customWidth="1"/>
    <col min="13576" max="13576" width="7.85546875" customWidth="1"/>
    <col min="13577" max="13577" width="10" customWidth="1"/>
    <col min="13580" max="13580" width="10.85546875" customWidth="1"/>
    <col min="13825" max="13825" width="8.28515625" customWidth="1"/>
    <col min="13826" max="13826" width="10.140625" customWidth="1"/>
    <col min="13827" max="13827" width="8.7109375" customWidth="1"/>
    <col min="13828" max="13828" width="12.7109375" customWidth="1"/>
    <col min="13829" max="13829" width="10.5703125" customWidth="1"/>
    <col min="13830" max="13830" width="12.42578125" customWidth="1"/>
    <col min="13831" max="13831" width="7.5703125" customWidth="1"/>
    <col min="13832" max="13832" width="7.85546875" customWidth="1"/>
    <col min="13833" max="13833" width="10" customWidth="1"/>
    <col min="13836" max="13836" width="10.85546875" customWidth="1"/>
    <col min="14081" max="14081" width="8.28515625" customWidth="1"/>
    <col min="14082" max="14082" width="10.140625" customWidth="1"/>
    <col min="14083" max="14083" width="8.7109375" customWidth="1"/>
    <col min="14084" max="14084" width="12.7109375" customWidth="1"/>
    <col min="14085" max="14085" width="10.5703125" customWidth="1"/>
    <col min="14086" max="14086" width="12.42578125" customWidth="1"/>
    <col min="14087" max="14087" width="7.5703125" customWidth="1"/>
    <col min="14088" max="14088" width="7.85546875" customWidth="1"/>
    <col min="14089" max="14089" width="10" customWidth="1"/>
    <col min="14092" max="14092" width="10.85546875" customWidth="1"/>
    <col min="14337" max="14337" width="8.28515625" customWidth="1"/>
    <col min="14338" max="14338" width="10.140625" customWidth="1"/>
    <col min="14339" max="14339" width="8.7109375" customWidth="1"/>
    <col min="14340" max="14340" width="12.7109375" customWidth="1"/>
    <col min="14341" max="14341" width="10.5703125" customWidth="1"/>
    <col min="14342" max="14342" width="12.42578125" customWidth="1"/>
    <col min="14343" max="14343" width="7.5703125" customWidth="1"/>
    <col min="14344" max="14344" width="7.85546875" customWidth="1"/>
    <col min="14345" max="14345" width="10" customWidth="1"/>
    <col min="14348" max="14348" width="10.85546875" customWidth="1"/>
    <col min="14593" max="14593" width="8.28515625" customWidth="1"/>
    <col min="14594" max="14594" width="10.140625" customWidth="1"/>
    <col min="14595" max="14595" width="8.7109375" customWidth="1"/>
    <col min="14596" max="14596" width="12.7109375" customWidth="1"/>
    <col min="14597" max="14597" width="10.5703125" customWidth="1"/>
    <col min="14598" max="14598" width="12.42578125" customWidth="1"/>
    <col min="14599" max="14599" width="7.5703125" customWidth="1"/>
    <col min="14600" max="14600" width="7.85546875" customWidth="1"/>
    <col min="14601" max="14601" width="10" customWidth="1"/>
    <col min="14604" max="14604" width="10.85546875" customWidth="1"/>
    <col min="14849" max="14849" width="8.28515625" customWidth="1"/>
    <col min="14850" max="14850" width="10.140625" customWidth="1"/>
    <col min="14851" max="14851" width="8.7109375" customWidth="1"/>
    <col min="14852" max="14852" width="12.7109375" customWidth="1"/>
    <col min="14853" max="14853" width="10.5703125" customWidth="1"/>
    <col min="14854" max="14854" width="12.42578125" customWidth="1"/>
    <col min="14855" max="14855" width="7.5703125" customWidth="1"/>
    <col min="14856" max="14856" width="7.85546875" customWidth="1"/>
    <col min="14857" max="14857" width="10" customWidth="1"/>
    <col min="14860" max="14860" width="10.85546875" customWidth="1"/>
    <col min="15105" max="15105" width="8.28515625" customWidth="1"/>
    <col min="15106" max="15106" width="10.140625" customWidth="1"/>
    <col min="15107" max="15107" width="8.7109375" customWidth="1"/>
    <col min="15108" max="15108" width="12.7109375" customWidth="1"/>
    <col min="15109" max="15109" width="10.5703125" customWidth="1"/>
    <col min="15110" max="15110" width="12.42578125" customWidth="1"/>
    <col min="15111" max="15111" width="7.5703125" customWidth="1"/>
    <col min="15112" max="15112" width="7.85546875" customWidth="1"/>
    <col min="15113" max="15113" width="10" customWidth="1"/>
    <col min="15116" max="15116" width="10.85546875" customWidth="1"/>
    <col min="15361" max="15361" width="8.28515625" customWidth="1"/>
    <col min="15362" max="15362" width="10.140625" customWidth="1"/>
    <col min="15363" max="15363" width="8.7109375" customWidth="1"/>
    <col min="15364" max="15364" width="12.7109375" customWidth="1"/>
    <col min="15365" max="15365" width="10.5703125" customWidth="1"/>
    <col min="15366" max="15366" width="12.42578125" customWidth="1"/>
    <col min="15367" max="15367" width="7.5703125" customWidth="1"/>
    <col min="15368" max="15368" width="7.85546875" customWidth="1"/>
    <col min="15369" max="15369" width="10" customWidth="1"/>
    <col min="15372" max="15372" width="10.85546875" customWidth="1"/>
    <col min="15617" max="15617" width="8.28515625" customWidth="1"/>
    <col min="15618" max="15618" width="10.140625" customWidth="1"/>
    <col min="15619" max="15619" width="8.7109375" customWidth="1"/>
    <col min="15620" max="15620" width="12.7109375" customWidth="1"/>
    <col min="15621" max="15621" width="10.5703125" customWidth="1"/>
    <col min="15622" max="15622" width="12.42578125" customWidth="1"/>
    <col min="15623" max="15623" width="7.5703125" customWidth="1"/>
    <col min="15624" max="15624" width="7.85546875" customWidth="1"/>
    <col min="15625" max="15625" width="10" customWidth="1"/>
    <col min="15628" max="15628" width="10.85546875" customWidth="1"/>
    <col min="15873" max="15873" width="8.28515625" customWidth="1"/>
    <col min="15874" max="15874" width="10.140625" customWidth="1"/>
    <col min="15875" max="15875" width="8.7109375" customWidth="1"/>
    <col min="15876" max="15876" width="12.7109375" customWidth="1"/>
    <col min="15877" max="15877" width="10.5703125" customWidth="1"/>
    <col min="15878" max="15878" width="12.42578125" customWidth="1"/>
    <col min="15879" max="15879" width="7.5703125" customWidth="1"/>
    <col min="15880" max="15880" width="7.85546875" customWidth="1"/>
    <col min="15881" max="15881" width="10" customWidth="1"/>
    <col min="15884" max="15884" width="10.85546875" customWidth="1"/>
    <col min="16129" max="16129" width="8.28515625" customWidth="1"/>
    <col min="16130" max="16130" width="10.140625" customWidth="1"/>
    <col min="16131" max="16131" width="8.7109375" customWidth="1"/>
    <col min="16132" max="16132" width="12.7109375" customWidth="1"/>
    <col min="16133" max="16133" width="10.5703125" customWidth="1"/>
    <col min="16134" max="16134" width="12.42578125" customWidth="1"/>
    <col min="16135" max="16135" width="7.5703125" customWidth="1"/>
    <col min="16136" max="16136" width="7.85546875" customWidth="1"/>
    <col min="16137" max="16137" width="10" customWidth="1"/>
    <col min="16140" max="16140" width="10.85546875" customWidth="1"/>
  </cols>
  <sheetData>
    <row r="1" spans="1:15" ht="18" x14ac:dyDescent="0.35">
      <c r="A1" s="1420" t="s">
        <v>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36" t="s">
        <v>921</v>
      </c>
      <c r="O1" s="1436"/>
    </row>
    <row r="2" spans="1:15" ht="21" x14ac:dyDescent="0.35">
      <c r="A2" s="1421" t="s">
        <v>793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</row>
    <row r="3" spans="1:15" ht="15" x14ac:dyDescent="0.3">
      <c r="A3" s="68"/>
      <c r="B3" s="68"/>
    </row>
    <row r="4" spans="1:15" ht="18" customHeight="1" x14ac:dyDescent="0.35">
      <c r="A4" s="1437" t="s">
        <v>922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</row>
    <row r="5" spans="1:15" ht="15" x14ac:dyDescent="0.3">
      <c r="A5" s="69" t="s">
        <v>923</v>
      </c>
      <c r="B5" s="69"/>
    </row>
    <row r="6" spans="1:15" ht="15" x14ac:dyDescent="0.3">
      <c r="A6" s="69"/>
      <c r="B6" s="69"/>
      <c r="L6" s="1443" t="s">
        <v>924</v>
      </c>
      <c r="M6" s="1443"/>
      <c r="N6" s="1443"/>
      <c r="O6" s="1443"/>
    </row>
    <row r="7" spans="1:15" ht="59.25" customHeight="1" x14ac:dyDescent="0.2">
      <c r="A7" s="1438" t="s">
        <v>2</v>
      </c>
      <c r="B7" s="1438" t="s">
        <v>3</v>
      </c>
      <c r="C7" s="1439" t="s">
        <v>925</v>
      </c>
      <c r="D7" s="1442" t="s">
        <v>926</v>
      </c>
      <c r="E7" s="1442" t="s">
        <v>927</v>
      </c>
      <c r="F7" s="1442" t="s">
        <v>928</v>
      </c>
      <c r="G7" s="1442" t="s">
        <v>929</v>
      </c>
      <c r="H7" s="1442"/>
      <c r="I7" s="1442"/>
      <c r="J7" s="1442"/>
      <c r="K7" s="1442"/>
      <c r="L7" s="1442" t="s">
        <v>930</v>
      </c>
      <c r="M7" s="1442" t="s">
        <v>931</v>
      </c>
      <c r="N7" s="1442"/>
      <c r="O7" s="1442"/>
    </row>
    <row r="8" spans="1:15" s="918" customFormat="1" ht="15.75" customHeight="1" x14ac:dyDescent="0.25">
      <c r="A8" s="1438"/>
      <c r="B8" s="1438"/>
      <c r="C8" s="1440"/>
      <c r="D8" s="1442"/>
      <c r="E8" s="1442"/>
      <c r="F8" s="1442"/>
      <c r="G8" s="1442" t="s">
        <v>932</v>
      </c>
      <c r="H8" s="1442"/>
      <c r="I8" s="1442" t="s">
        <v>933</v>
      </c>
      <c r="J8" s="1442" t="s">
        <v>934</v>
      </c>
      <c r="K8" s="1442" t="s">
        <v>935</v>
      </c>
      <c r="L8" s="1442"/>
      <c r="M8" s="1442" t="s">
        <v>84</v>
      </c>
      <c r="N8" s="1442" t="s">
        <v>936</v>
      </c>
      <c r="O8" s="1442" t="s">
        <v>937</v>
      </c>
    </row>
    <row r="9" spans="1:15" ht="48" customHeight="1" x14ac:dyDescent="0.2">
      <c r="A9" s="1438"/>
      <c r="B9" s="1438"/>
      <c r="C9" s="1441"/>
      <c r="D9" s="1442"/>
      <c r="E9" s="1442"/>
      <c r="F9" s="1442"/>
      <c r="G9" s="919" t="s">
        <v>938</v>
      </c>
      <c r="H9" s="919" t="s">
        <v>939</v>
      </c>
      <c r="I9" s="1442"/>
      <c r="J9" s="1442"/>
      <c r="K9" s="1442"/>
      <c r="L9" s="1442"/>
      <c r="M9" s="1442"/>
      <c r="N9" s="1442"/>
      <c r="O9" s="1442"/>
    </row>
    <row r="10" spans="1:15" s="810" customFormat="1" ht="15" x14ac:dyDescent="0.25">
      <c r="A10" s="812" t="s">
        <v>248</v>
      </c>
      <c r="B10" s="812" t="s">
        <v>249</v>
      </c>
      <c r="C10" s="812" t="s">
        <v>250</v>
      </c>
      <c r="D10" s="812" t="s">
        <v>251</v>
      </c>
      <c r="E10" s="812" t="s">
        <v>252</v>
      </c>
      <c r="F10" s="812" t="s">
        <v>253</v>
      </c>
      <c r="G10" s="812" t="s">
        <v>254</v>
      </c>
      <c r="H10" s="812" t="s">
        <v>255</v>
      </c>
      <c r="I10" s="812" t="s">
        <v>276</v>
      </c>
      <c r="J10" s="812" t="s">
        <v>277</v>
      </c>
      <c r="K10" s="812" t="s">
        <v>278</v>
      </c>
      <c r="L10" s="812" t="s">
        <v>306</v>
      </c>
      <c r="M10" s="812" t="s">
        <v>307</v>
      </c>
      <c r="N10" s="812" t="s">
        <v>308</v>
      </c>
      <c r="O10" s="812" t="s">
        <v>309</v>
      </c>
    </row>
    <row r="11" spans="1:15" s="227" customFormat="1" ht="21" customHeight="1" x14ac:dyDescent="0.2">
      <c r="A11" s="233">
        <v>1</v>
      </c>
      <c r="B11" s="173" t="s">
        <v>647</v>
      </c>
      <c r="C11" s="907">
        <f>'AT-3'!G9</f>
        <v>3154</v>
      </c>
      <c r="D11" s="923">
        <v>3154</v>
      </c>
      <c r="E11" s="662">
        <v>3087</v>
      </c>
      <c r="F11" s="904">
        <v>194</v>
      </c>
      <c r="G11" s="300">
        <v>110</v>
      </c>
      <c r="H11" s="233">
        <v>6</v>
      </c>
      <c r="I11" s="233">
        <v>19</v>
      </c>
      <c r="J11" s="233">
        <v>59</v>
      </c>
      <c r="K11" s="233">
        <v>0</v>
      </c>
      <c r="L11" s="233">
        <v>12</v>
      </c>
      <c r="M11" s="233">
        <v>3028</v>
      </c>
      <c r="N11" s="233">
        <v>84</v>
      </c>
      <c r="O11" s="233">
        <v>42</v>
      </c>
    </row>
    <row r="12" spans="1:15" s="227" customFormat="1" ht="21" customHeight="1" x14ac:dyDescent="0.2">
      <c r="A12" s="233">
        <v>2</v>
      </c>
      <c r="B12" s="173" t="s">
        <v>648</v>
      </c>
      <c r="C12" s="907">
        <f>'AT-3'!G10</f>
        <v>2701</v>
      </c>
      <c r="D12" s="921">
        <v>2701</v>
      </c>
      <c r="E12" s="300">
        <v>2701</v>
      </c>
      <c r="F12" s="300">
        <v>2701</v>
      </c>
      <c r="G12" s="300">
        <v>250</v>
      </c>
      <c r="H12" s="233">
        <v>0</v>
      </c>
      <c r="I12" s="233">
        <v>0</v>
      </c>
      <c r="J12" s="233">
        <v>53</v>
      </c>
      <c r="K12" s="233">
        <v>0</v>
      </c>
      <c r="L12" s="233">
        <v>2398</v>
      </c>
      <c r="M12" s="233">
        <v>2653</v>
      </c>
      <c r="N12" s="233">
        <v>0</v>
      </c>
      <c r="O12" s="233">
        <v>48</v>
      </c>
    </row>
    <row r="13" spans="1:15" s="227" customFormat="1" ht="21" customHeight="1" x14ac:dyDescent="0.2">
      <c r="A13" s="233">
        <v>3</v>
      </c>
      <c r="B13" s="173" t="s">
        <v>649</v>
      </c>
      <c r="C13" s="907">
        <f>'AT-3'!G11</f>
        <v>3863</v>
      </c>
      <c r="D13" s="921">
        <v>2891</v>
      </c>
      <c r="E13" s="300">
        <v>2539</v>
      </c>
      <c r="F13" s="300">
        <v>90</v>
      </c>
      <c r="G13" s="300">
        <v>74</v>
      </c>
      <c r="H13" s="233">
        <v>4</v>
      </c>
      <c r="I13" s="233">
        <v>7</v>
      </c>
      <c r="J13" s="233">
        <v>9</v>
      </c>
      <c r="K13" s="233">
        <v>5</v>
      </c>
      <c r="L13" s="233">
        <v>387</v>
      </c>
      <c r="M13" s="233">
        <v>1250</v>
      </c>
      <c r="N13" s="233">
        <v>20</v>
      </c>
      <c r="O13" s="233">
        <v>227</v>
      </c>
    </row>
    <row r="14" spans="1:15" s="227" customFormat="1" ht="21" customHeight="1" x14ac:dyDescent="0.2">
      <c r="A14" s="233">
        <v>4</v>
      </c>
      <c r="B14" s="173" t="s">
        <v>650</v>
      </c>
      <c r="C14" s="907">
        <f>'AT-3'!G12</f>
        <v>4264</v>
      </c>
      <c r="D14" s="921">
        <v>4264</v>
      </c>
      <c r="E14" s="300">
        <v>3791</v>
      </c>
      <c r="F14" s="300">
        <v>2254</v>
      </c>
      <c r="G14" s="300">
        <v>330</v>
      </c>
      <c r="H14" s="233">
        <v>0</v>
      </c>
      <c r="I14" s="233">
        <v>0</v>
      </c>
      <c r="J14" s="233">
        <v>48</v>
      </c>
      <c r="K14" s="233">
        <v>0</v>
      </c>
      <c r="L14" s="233">
        <v>2254</v>
      </c>
      <c r="M14" s="233">
        <v>3791</v>
      </c>
      <c r="N14" s="233">
        <v>0</v>
      </c>
      <c r="O14" s="233">
        <v>473</v>
      </c>
    </row>
    <row r="15" spans="1:15" s="227" customFormat="1" ht="21" customHeight="1" x14ac:dyDescent="0.2">
      <c r="A15" s="233">
        <v>5</v>
      </c>
      <c r="B15" s="173" t="s">
        <v>651</v>
      </c>
      <c r="C15" s="907">
        <f>'AT-3'!G13</f>
        <v>3242</v>
      </c>
      <c r="D15" s="300">
        <v>3242</v>
      </c>
      <c r="E15" s="300">
        <v>3242</v>
      </c>
      <c r="F15" s="300">
        <v>3111</v>
      </c>
      <c r="G15" s="300">
        <v>850</v>
      </c>
      <c r="H15" s="233">
        <v>0</v>
      </c>
      <c r="I15" s="233">
        <v>0</v>
      </c>
      <c r="J15" s="233">
        <v>72</v>
      </c>
      <c r="K15" s="233">
        <v>0</v>
      </c>
      <c r="L15" s="233">
        <v>2189</v>
      </c>
      <c r="M15" s="233">
        <v>3170</v>
      </c>
      <c r="N15" s="233">
        <v>0</v>
      </c>
      <c r="O15" s="233">
        <v>72</v>
      </c>
    </row>
    <row r="16" spans="1:15" s="227" customFormat="1" ht="21" customHeight="1" x14ac:dyDescent="0.2">
      <c r="A16" s="233">
        <v>6</v>
      </c>
      <c r="B16" s="173" t="s">
        <v>652</v>
      </c>
      <c r="C16" s="907">
        <f>'AT-3'!G14</f>
        <v>3120</v>
      </c>
      <c r="D16" s="300">
        <v>2630</v>
      </c>
      <c r="E16" s="300">
        <v>2026</v>
      </c>
      <c r="F16" s="300">
        <v>607</v>
      </c>
      <c r="G16" s="300">
        <v>571</v>
      </c>
      <c r="H16" s="233">
        <v>4</v>
      </c>
      <c r="I16" s="233">
        <v>21</v>
      </c>
      <c r="J16" s="233">
        <v>11</v>
      </c>
      <c r="K16" s="233">
        <v>0</v>
      </c>
      <c r="L16" s="233">
        <v>52</v>
      </c>
      <c r="M16" s="233">
        <v>307</v>
      </c>
      <c r="N16" s="233">
        <v>0</v>
      </c>
      <c r="O16" s="233">
        <v>1719</v>
      </c>
    </row>
    <row r="17" spans="1:15" s="227" customFormat="1" ht="21" customHeight="1" x14ac:dyDescent="0.2">
      <c r="A17" s="233">
        <v>7</v>
      </c>
      <c r="B17" s="173" t="s">
        <v>653</v>
      </c>
      <c r="C17" s="907">
        <f>'AT-3'!G15</f>
        <v>3497</v>
      </c>
      <c r="D17" s="300">
        <v>3568</v>
      </c>
      <c r="E17" s="300">
        <v>3568</v>
      </c>
      <c r="F17" s="300">
        <v>3341</v>
      </c>
      <c r="G17" s="300">
        <v>671</v>
      </c>
      <c r="H17" s="233">
        <v>0</v>
      </c>
      <c r="I17" s="233">
        <v>0</v>
      </c>
      <c r="J17" s="233">
        <v>855</v>
      </c>
      <c r="K17" s="233">
        <v>0</v>
      </c>
      <c r="L17" s="233">
        <v>1815</v>
      </c>
      <c r="M17" s="233">
        <v>3239</v>
      </c>
      <c r="N17" s="233">
        <v>0</v>
      </c>
      <c r="O17" s="233">
        <v>329</v>
      </c>
    </row>
    <row r="18" spans="1:15" s="227" customFormat="1" ht="21" customHeight="1" x14ac:dyDescent="0.2">
      <c r="A18" s="233">
        <v>8</v>
      </c>
      <c r="B18" s="173" t="s">
        <v>654</v>
      </c>
      <c r="C18" s="907">
        <f>'AT-3'!G16</f>
        <v>3367</v>
      </c>
      <c r="D18" s="300">
        <v>3336</v>
      </c>
      <c r="E18" s="300">
        <v>2844</v>
      </c>
      <c r="F18" s="300">
        <v>0</v>
      </c>
      <c r="G18" s="300">
        <v>61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15</v>
      </c>
      <c r="N18" s="233">
        <v>0</v>
      </c>
      <c r="O18" s="233">
        <v>46</v>
      </c>
    </row>
    <row r="19" spans="1:15" s="227" customFormat="1" ht="21" customHeight="1" x14ac:dyDescent="0.2">
      <c r="A19" s="233">
        <v>9</v>
      </c>
      <c r="B19" s="173" t="s">
        <v>655</v>
      </c>
      <c r="C19" s="907">
        <f>'AT-3'!G17</f>
        <v>3425</v>
      </c>
      <c r="D19" s="300">
        <v>3425</v>
      </c>
      <c r="E19" s="300">
        <v>3425</v>
      </c>
      <c r="F19" s="300">
        <v>0</v>
      </c>
      <c r="G19" s="300">
        <v>25</v>
      </c>
      <c r="H19" s="233">
        <v>0</v>
      </c>
      <c r="I19" s="233">
        <v>0</v>
      </c>
      <c r="J19" s="233">
        <v>0</v>
      </c>
      <c r="K19" s="233">
        <v>0</v>
      </c>
      <c r="L19" s="233">
        <v>3400</v>
      </c>
      <c r="M19" s="233">
        <v>0</v>
      </c>
      <c r="N19" s="233">
        <v>0</v>
      </c>
      <c r="O19" s="233">
        <v>25</v>
      </c>
    </row>
    <row r="20" spans="1:15" s="227" customFormat="1" ht="21" customHeight="1" x14ac:dyDescent="0.2">
      <c r="A20" s="233">
        <v>10</v>
      </c>
      <c r="B20" s="173" t="s">
        <v>656</v>
      </c>
      <c r="C20" s="907">
        <f>'AT-3'!G18</f>
        <v>4816</v>
      </c>
      <c r="D20" s="300">
        <v>4141</v>
      </c>
      <c r="E20" s="300">
        <v>4141</v>
      </c>
      <c r="F20" s="300">
        <v>235</v>
      </c>
      <c r="G20" s="300">
        <v>176</v>
      </c>
      <c r="H20" s="233">
        <v>0</v>
      </c>
      <c r="I20" s="233">
        <v>0</v>
      </c>
      <c r="J20" s="233">
        <v>0</v>
      </c>
      <c r="K20" s="233">
        <v>7</v>
      </c>
      <c r="L20" s="233">
        <v>0</v>
      </c>
      <c r="M20" s="233">
        <v>0</v>
      </c>
      <c r="N20" s="233">
        <v>0</v>
      </c>
      <c r="O20" s="233">
        <v>0</v>
      </c>
    </row>
    <row r="21" spans="1:15" s="227" customFormat="1" ht="21" customHeight="1" x14ac:dyDescent="0.2">
      <c r="A21" s="233">
        <v>11</v>
      </c>
      <c r="B21" s="173" t="s">
        <v>657</v>
      </c>
      <c r="C21" s="907">
        <f>'AT-3'!G19</f>
        <v>3369</v>
      </c>
      <c r="D21" s="300">
        <v>3224</v>
      </c>
      <c r="E21" s="300">
        <v>3224</v>
      </c>
      <c r="F21" s="300">
        <v>3011</v>
      </c>
      <c r="G21" s="300">
        <v>0</v>
      </c>
      <c r="H21" s="233">
        <v>0</v>
      </c>
      <c r="I21" s="233">
        <v>0</v>
      </c>
      <c r="J21" s="233">
        <v>50</v>
      </c>
      <c r="K21" s="233">
        <v>0</v>
      </c>
      <c r="L21" s="233">
        <v>2089</v>
      </c>
      <c r="M21" s="233">
        <v>3170</v>
      </c>
      <c r="N21" s="233">
        <v>0</v>
      </c>
      <c r="O21" s="233">
        <v>54</v>
      </c>
    </row>
    <row r="22" spans="1:15" s="227" customFormat="1" ht="21" customHeight="1" x14ac:dyDescent="0.2">
      <c r="A22" s="233">
        <v>12</v>
      </c>
      <c r="B22" s="173" t="s">
        <v>658</v>
      </c>
      <c r="C22" s="907">
        <f>'AT-3'!G20</f>
        <v>3818</v>
      </c>
      <c r="D22" s="300">
        <v>2364</v>
      </c>
      <c r="E22" s="300">
        <v>2740</v>
      </c>
      <c r="F22" s="300">
        <v>2740</v>
      </c>
      <c r="G22" s="300">
        <v>0</v>
      </c>
      <c r="H22" s="233">
        <v>0</v>
      </c>
      <c r="I22" s="233">
        <v>0</v>
      </c>
      <c r="J22" s="233">
        <v>0</v>
      </c>
      <c r="K22" s="233">
        <v>0</v>
      </c>
      <c r="L22" s="233">
        <v>824</v>
      </c>
      <c r="M22" s="233">
        <v>2740</v>
      </c>
      <c r="N22" s="233">
        <v>0</v>
      </c>
      <c r="O22" s="233">
        <v>0</v>
      </c>
    </row>
    <row r="23" spans="1:15" s="227" customFormat="1" ht="21" customHeight="1" x14ac:dyDescent="0.2">
      <c r="A23" s="233">
        <v>13</v>
      </c>
      <c r="B23" s="173" t="s">
        <v>659</v>
      </c>
      <c r="C23" s="907">
        <f>'AT-3'!G21</f>
        <v>2869</v>
      </c>
      <c r="D23" s="300">
        <v>2413</v>
      </c>
      <c r="E23" s="300">
        <v>1707</v>
      </c>
      <c r="F23" s="300">
        <v>92</v>
      </c>
      <c r="G23" s="300">
        <v>60</v>
      </c>
      <c r="H23" s="233">
        <v>0</v>
      </c>
      <c r="I23" s="233">
        <v>0</v>
      </c>
      <c r="J23" s="233">
        <v>0</v>
      </c>
      <c r="K23" s="233">
        <v>0</v>
      </c>
      <c r="L23" s="233">
        <v>1</v>
      </c>
      <c r="M23" s="233">
        <v>253</v>
      </c>
      <c r="N23" s="233">
        <v>0</v>
      </c>
      <c r="O23" s="233">
        <v>18</v>
      </c>
    </row>
    <row r="24" spans="1:15" s="228" customFormat="1" ht="24.75" customHeight="1" x14ac:dyDescent="0.2">
      <c r="A24" s="1414" t="s">
        <v>660</v>
      </c>
      <c r="B24" s="1414"/>
      <c r="C24" s="901">
        <f>SUM(C11:C23)</f>
        <v>45505</v>
      </c>
      <c r="D24" s="901">
        <f t="shared" ref="D24:O24" si="0">SUM(D11:D23)</f>
        <v>41353</v>
      </c>
      <c r="E24" s="901">
        <f t="shared" si="0"/>
        <v>39035</v>
      </c>
      <c r="F24" s="901">
        <f t="shared" si="0"/>
        <v>18376</v>
      </c>
      <c r="G24" s="901">
        <f t="shared" si="0"/>
        <v>3178</v>
      </c>
      <c r="H24" s="901">
        <f t="shared" si="0"/>
        <v>14</v>
      </c>
      <c r="I24" s="901">
        <f t="shared" si="0"/>
        <v>47</v>
      </c>
      <c r="J24" s="901">
        <f t="shared" si="0"/>
        <v>1157</v>
      </c>
      <c r="K24" s="901">
        <f t="shared" si="0"/>
        <v>12</v>
      </c>
      <c r="L24" s="901">
        <f t="shared" si="0"/>
        <v>15421</v>
      </c>
      <c r="M24" s="901">
        <f t="shared" si="0"/>
        <v>23616</v>
      </c>
      <c r="N24" s="901">
        <f t="shared" si="0"/>
        <v>104</v>
      </c>
      <c r="O24" s="901">
        <f t="shared" si="0"/>
        <v>3053</v>
      </c>
    </row>
    <row r="25" spans="1:15" s="227" customFormat="1" ht="15.75" customHeight="1" x14ac:dyDescent="0.2">
      <c r="A25" s="228"/>
      <c r="B25" s="228"/>
      <c r="C25" s="228"/>
      <c r="D25" s="228"/>
      <c r="E25" s="228"/>
      <c r="F25" s="228"/>
      <c r="G25" s="228"/>
    </row>
    <row r="26" spans="1:15" s="227" customFormat="1" ht="60" customHeight="1" x14ac:dyDescent="0.2">
      <c r="A26" s="1332" t="s">
        <v>676</v>
      </c>
      <c r="B26" s="1332"/>
      <c r="C26" s="234"/>
      <c r="D26" s="235"/>
      <c r="E26" s="235"/>
      <c r="K26" s="1415" t="s">
        <v>646</v>
      </c>
      <c r="L26" s="1415"/>
      <c r="M26" s="1415"/>
      <c r="N26" s="1415"/>
      <c r="O26" s="1415"/>
    </row>
  </sheetData>
  <mergeCells count="24">
    <mergeCell ref="A24:B24"/>
    <mergeCell ref="A26:B26"/>
    <mergeCell ref="K26:O26"/>
    <mergeCell ref="F7:F9"/>
    <mergeCell ref="G7:K7"/>
    <mergeCell ref="L7:L9"/>
    <mergeCell ref="M7:O7"/>
    <mergeCell ref="G8:H8"/>
    <mergeCell ref="I8:I9"/>
    <mergeCell ref="J8:J9"/>
    <mergeCell ref="K8:K9"/>
    <mergeCell ref="M8:M9"/>
    <mergeCell ref="N8:N9"/>
    <mergeCell ref="A1:M1"/>
    <mergeCell ref="N1:O1"/>
    <mergeCell ref="A2:N2"/>
    <mergeCell ref="A4:N4"/>
    <mergeCell ref="A7:A9"/>
    <mergeCell ref="B7:B9"/>
    <mergeCell ref="C7:C9"/>
    <mergeCell ref="D7:D9"/>
    <mergeCell ref="E7:E9"/>
    <mergeCell ref="L6:O6"/>
    <mergeCell ref="O8:O9"/>
  </mergeCells>
  <printOptions horizontalCentered="1"/>
  <pageMargins left="0.55118110236220474" right="9.8425196850393706E-2" top="0.19685039370078741" bottom="0.19685039370078741" header="7.874015748031496E-2" footer="7.874015748031496E-2"/>
  <pageSetup paperSize="9" scale="9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5" tint="0.59999389629810485"/>
  </sheetPr>
  <dimension ref="A1:K26"/>
  <sheetViews>
    <sheetView view="pageBreakPreview" topLeftCell="A5" zoomScale="90" zoomScaleSheetLayoutView="90" workbookViewId="0">
      <selection activeCell="M5" sqref="M1:M1048576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5" width="11.5703125" customWidth="1"/>
    <col min="6" max="6" width="11.85546875" customWidth="1"/>
    <col min="7" max="7" width="9.7109375" customWidth="1"/>
    <col min="8" max="8" width="12" customWidth="1"/>
    <col min="9" max="9" width="16.5703125" customWidth="1"/>
    <col min="10" max="10" width="18.28515625" customWidth="1"/>
    <col min="11" max="11" width="12.5703125" customWidth="1"/>
  </cols>
  <sheetData>
    <row r="1" spans="1:11" ht="15" x14ac:dyDescent="0.2">
      <c r="D1" s="1200"/>
      <c r="E1" s="1200"/>
      <c r="H1" s="17"/>
      <c r="I1" s="1203" t="s">
        <v>60</v>
      </c>
      <c r="J1" s="1203"/>
    </row>
    <row r="2" spans="1:11" ht="15" x14ac:dyDescent="0.2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1" ht="20.25" x14ac:dyDescent="0.3">
      <c r="A3" s="1202" t="s">
        <v>793</v>
      </c>
      <c r="B3" s="1202"/>
      <c r="C3" s="1202"/>
      <c r="D3" s="1202"/>
      <c r="E3" s="1202"/>
      <c r="F3" s="1202"/>
      <c r="G3" s="1202"/>
      <c r="H3" s="1202"/>
      <c r="I3" s="1202"/>
      <c r="J3" s="1202"/>
    </row>
    <row r="4" spans="1:11" ht="10.5" customHeight="1" x14ac:dyDescent="0.2"/>
    <row r="5" spans="1:11" s="11" customFormat="1" ht="24.75" customHeight="1" x14ac:dyDescent="0.2">
      <c r="A5" s="1444" t="s">
        <v>418</v>
      </c>
      <c r="B5" s="1444"/>
      <c r="C5" s="1444"/>
      <c r="D5" s="1444"/>
      <c r="E5" s="1444"/>
      <c r="F5" s="1444"/>
      <c r="G5" s="1444"/>
      <c r="H5" s="1444"/>
      <c r="I5" s="1444"/>
      <c r="J5" s="1444"/>
      <c r="K5" s="1444"/>
    </row>
    <row r="6" spans="1:11" s="11" customFormat="1" ht="15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1" s="11" customFormat="1" x14ac:dyDescent="0.2">
      <c r="A7" s="1198" t="s">
        <v>687</v>
      </c>
      <c r="B7" s="1198"/>
      <c r="C7" s="1198"/>
      <c r="E7" s="1454"/>
      <c r="F7" s="1454"/>
      <c r="G7" s="1454"/>
      <c r="H7" s="1454"/>
      <c r="I7" s="1454" t="s">
        <v>948</v>
      </c>
      <c r="J7" s="1454"/>
      <c r="K7" s="1454"/>
    </row>
    <row r="8" spans="1:11" s="9" customFormat="1" ht="15.75" hidden="1" x14ac:dyDescent="0.25">
      <c r="C8" s="1210" t="s">
        <v>10</v>
      </c>
      <c r="D8" s="1210"/>
      <c r="E8" s="1210"/>
      <c r="F8" s="1210"/>
      <c r="G8" s="1210"/>
      <c r="H8" s="1210"/>
      <c r="I8" s="1210"/>
      <c r="J8" s="1210"/>
    </row>
    <row r="9" spans="1:11" s="594" customFormat="1" ht="44.25" customHeight="1" x14ac:dyDescent="0.2">
      <c r="A9" s="1447" t="s">
        <v>17</v>
      </c>
      <c r="B9" s="1447" t="s">
        <v>50</v>
      </c>
      <c r="C9" s="1445" t="s">
        <v>445</v>
      </c>
      <c r="D9" s="1446"/>
      <c r="E9" s="1445" t="s">
        <v>31</v>
      </c>
      <c r="F9" s="1446"/>
      <c r="G9" s="1445" t="s">
        <v>32</v>
      </c>
      <c r="H9" s="1446"/>
      <c r="I9" s="1404" t="s">
        <v>96</v>
      </c>
      <c r="J9" s="1404"/>
      <c r="K9" s="1447" t="s">
        <v>498</v>
      </c>
    </row>
    <row r="10" spans="1:11" s="596" customFormat="1" ht="51" customHeight="1" x14ac:dyDescent="0.2">
      <c r="A10" s="1448"/>
      <c r="B10" s="1448"/>
      <c r="C10" s="614" t="s">
        <v>33</v>
      </c>
      <c r="D10" s="614" t="s">
        <v>736</v>
      </c>
      <c r="E10" s="614" t="s">
        <v>33</v>
      </c>
      <c r="F10" s="614" t="s">
        <v>736</v>
      </c>
      <c r="G10" s="614" t="s">
        <v>33</v>
      </c>
      <c r="H10" s="614" t="s">
        <v>736</v>
      </c>
      <c r="I10" s="614" t="s">
        <v>124</v>
      </c>
      <c r="J10" s="614" t="s">
        <v>737</v>
      </c>
      <c r="K10" s="1448"/>
    </row>
    <row r="11" spans="1:11" s="594" customFormat="1" ht="15" x14ac:dyDescent="0.2">
      <c r="A11" s="678">
        <v>1</v>
      </c>
      <c r="B11" s="678">
        <v>2</v>
      </c>
      <c r="C11" s="678">
        <v>3</v>
      </c>
      <c r="D11" s="678">
        <v>4</v>
      </c>
      <c r="E11" s="678">
        <v>5</v>
      </c>
      <c r="F11" s="678">
        <v>6</v>
      </c>
      <c r="G11" s="678">
        <v>7</v>
      </c>
      <c r="H11" s="678">
        <v>8</v>
      </c>
      <c r="I11" s="678">
        <v>9</v>
      </c>
      <c r="J11" s="678">
        <v>10</v>
      </c>
      <c r="K11" s="679">
        <v>11</v>
      </c>
    </row>
    <row r="12" spans="1:11" s="594" customFormat="1" ht="20.100000000000001" customHeight="1" x14ac:dyDescent="0.2">
      <c r="A12" s="680">
        <v>1</v>
      </c>
      <c r="B12" s="680" t="s">
        <v>358</v>
      </c>
      <c r="C12" s="676"/>
      <c r="D12" s="676"/>
      <c r="E12" s="676"/>
      <c r="F12" s="676"/>
      <c r="G12" s="676"/>
      <c r="H12" s="676"/>
      <c r="I12" s="676"/>
      <c r="J12" s="676"/>
      <c r="K12" s="676"/>
    </row>
    <row r="13" spans="1:11" s="594" customFormat="1" ht="20.100000000000001" customHeight="1" x14ac:dyDescent="0.2">
      <c r="A13" s="680">
        <v>2</v>
      </c>
      <c r="B13" s="680" t="s">
        <v>359</v>
      </c>
      <c r="C13" s="676"/>
      <c r="D13" s="676"/>
      <c r="E13" s="676"/>
      <c r="F13" s="676"/>
      <c r="G13" s="676"/>
      <c r="H13" s="676"/>
      <c r="I13" s="676"/>
      <c r="J13" s="676"/>
      <c r="K13" s="676"/>
    </row>
    <row r="14" spans="1:11" s="594" customFormat="1" ht="20.100000000000001" customHeight="1" x14ac:dyDescent="0.2">
      <c r="A14" s="680">
        <v>3</v>
      </c>
      <c r="B14" s="680" t="s">
        <v>360</v>
      </c>
      <c r="C14" s="676"/>
      <c r="D14" s="676"/>
      <c r="E14" s="676"/>
      <c r="F14" s="676"/>
      <c r="G14" s="676"/>
      <c r="H14" s="676"/>
      <c r="I14" s="676"/>
      <c r="J14" s="676"/>
      <c r="K14" s="676"/>
    </row>
    <row r="15" spans="1:11" s="594" customFormat="1" ht="20.100000000000001" customHeight="1" x14ac:dyDescent="0.2">
      <c r="A15" s="680">
        <v>4</v>
      </c>
      <c r="B15" s="680" t="s">
        <v>361</v>
      </c>
      <c r="C15" s="676"/>
      <c r="D15" s="676"/>
      <c r="E15" s="676"/>
      <c r="F15" s="676"/>
      <c r="G15" s="676"/>
      <c r="H15" s="676"/>
      <c r="I15" s="676"/>
      <c r="J15" s="676"/>
      <c r="K15" s="676"/>
    </row>
    <row r="16" spans="1:11" s="594" customFormat="1" ht="20.100000000000001" customHeight="1" x14ac:dyDescent="0.2">
      <c r="A16" s="680">
        <v>5</v>
      </c>
      <c r="B16" s="680" t="s">
        <v>362</v>
      </c>
      <c r="C16" s="676"/>
      <c r="D16" s="676"/>
      <c r="E16" s="676"/>
      <c r="F16" s="676"/>
      <c r="G16" s="676"/>
      <c r="H16" s="676"/>
      <c r="I16" s="676"/>
      <c r="J16" s="676"/>
      <c r="K16" s="676"/>
    </row>
    <row r="17" spans="1:11" s="682" customFormat="1" ht="20.100000000000001" customHeight="1" x14ac:dyDescent="0.2">
      <c r="A17" s="681">
        <v>6</v>
      </c>
      <c r="B17" s="681" t="s">
        <v>363</v>
      </c>
      <c r="C17" s="535">
        <v>31213</v>
      </c>
      <c r="D17" s="538">
        <v>18727.8</v>
      </c>
      <c r="E17" s="535">
        <v>11690</v>
      </c>
      <c r="F17" s="538">
        <v>7014</v>
      </c>
      <c r="G17" s="1449" t="s">
        <v>1001</v>
      </c>
      <c r="H17" s="1450"/>
      <c r="I17" s="1450"/>
      <c r="J17" s="1450"/>
      <c r="K17" s="1451"/>
    </row>
    <row r="18" spans="1:11" s="594" customFormat="1" ht="20.100000000000001" customHeight="1" x14ac:dyDescent="0.2">
      <c r="A18" s="680">
        <v>7</v>
      </c>
      <c r="B18" s="680" t="s">
        <v>364</v>
      </c>
      <c r="C18" s="676"/>
      <c r="D18" s="1023"/>
      <c r="E18" s="393"/>
      <c r="F18" s="1025"/>
      <c r="G18" s="393"/>
      <c r="H18" s="393"/>
      <c r="I18" s="393"/>
      <c r="J18" s="393"/>
      <c r="K18" s="393"/>
    </row>
    <row r="19" spans="1:11" s="677" customFormat="1" ht="20.100000000000001" customHeight="1" x14ac:dyDescent="0.2">
      <c r="A19" s="680">
        <v>8</v>
      </c>
      <c r="B19" s="680" t="s">
        <v>239</v>
      </c>
      <c r="C19" s="746">
        <v>13103</v>
      </c>
      <c r="D19" s="1024">
        <v>19654.5</v>
      </c>
      <c r="E19" s="747">
        <v>5760</v>
      </c>
      <c r="F19" s="815">
        <f>E19*1.5</f>
        <v>8640</v>
      </c>
      <c r="G19" s="747">
        <f>'AT11A_KS-District wise'!G25</f>
        <v>1874</v>
      </c>
      <c r="H19" s="815">
        <f>G19*1.5</f>
        <v>2811</v>
      </c>
      <c r="I19" s="747">
        <f>C19-E19-G19</f>
        <v>5469</v>
      </c>
      <c r="J19" s="815">
        <f>D19-F19-H19</f>
        <v>8203.5</v>
      </c>
      <c r="K19" s="747">
        <v>0</v>
      </c>
    </row>
    <row r="20" spans="1:11" s="677" customFormat="1" ht="20.100000000000001" customHeight="1" x14ac:dyDescent="0.2">
      <c r="A20" s="680">
        <v>9</v>
      </c>
      <c r="B20" s="680" t="s">
        <v>337</v>
      </c>
      <c r="C20" s="676"/>
      <c r="D20" s="676"/>
      <c r="E20" s="676"/>
      <c r="F20" s="676"/>
      <c r="G20" s="676"/>
      <c r="H20" s="676"/>
      <c r="I20" s="676"/>
      <c r="J20" s="676"/>
      <c r="K20" s="676"/>
    </row>
    <row r="21" spans="1:11" s="677" customFormat="1" ht="20.100000000000001" customHeight="1" x14ac:dyDescent="0.2">
      <c r="A21" s="680">
        <v>10</v>
      </c>
      <c r="B21" s="680" t="s">
        <v>497</v>
      </c>
      <c r="C21" s="676"/>
      <c r="D21" s="676"/>
      <c r="E21" s="676"/>
      <c r="F21" s="676"/>
      <c r="G21" s="1026"/>
      <c r="H21" s="1026"/>
      <c r="I21" s="1026"/>
      <c r="J21" s="676"/>
      <c r="K21" s="676"/>
    </row>
    <row r="22" spans="1:11" s="677" customFormat="1" ht="20.100000000000001" customHeight="1" x14ac:dyDescent="0.2">
      <c r="A22" s="680">
        <v>11</v>
      </c>
      <c r="B22" s="680" t="s">
        <v>456</v>
      </c>
      <c r="C22" s="676"/>
      <c r="D22" s="676"/>
      <c r="E22" s="676"/>
      <c r="F22" s="676"/>
      <c r="G22" s="676"/>
      <c r="H22" s="676"/>
      <c r="I22" s="676"/>
      <c r="J22" s="676"/>
      <c r="K22" s="676"/>
    </row>
    <row r="23" spans="1:11" s="8" customFormat="1" ht="20.100000000000001" customHeight="1" x14ac:dyDescent="0.2">
      <c r="A23" s="1452" t="s">
        <v>13</v>
      </c>
      <c r="B23" s="1453"/>
      <c r="C23" s="5"/>
      <c r="D23" s="5"/>
      <c r="E23" s="5"/>
      <c r="F23" s="5"/>
      <c r="G23" s="5"/>
      <c r="H23" s="5"/>
      <c r="I23" s="5"/>
      <c r="J23" s="5"/>
      <c r="K23" s="5"/>
    </row>
    <row r="24" spans="1:11" s="8" customFormat="1" ht="20.100000000000001" customHeight="1" x14ac:dyDescent="0.2">
      <c r="A24" s="7"/>
      <c r="B24" s="7"/>
    </row>
    <row r="25" spans="1:11" s="8" customFormat="1" x14ac:dyDescent="0.2">
      <c r="A25" s="6"/>
    </row>
    <row r="26" spans="1:11" s="8" customFormat="1" ht="63" customHeight="1" x14ac:dyDescent="0.3">
      <c r="A26" s="1422" t="s">
        <v>677</v>
      </c>
      <c r="B26" s="1422"/>
      <c r="C26" s="459"/>
      <c r="D26" s="458"/>
      <c r="E26" s="458"/>
      <c r="F26" s="457"/>
      <c r="G26" s="457"/>
      <c r="H26" s="457"/>
      <c r="I26" s="1423" t="s">
        <v>688</v>
      </c>
      <c r="J26" s="1423"/>
      <c r="K26" s="1423"/>
    </row>
  </sheetData>
  <mergeCells count="20">
    <mergeCell ref="G9:H9"/>
    <mergeCell ref="I9:J9"/>
    <mergeCell ref="K9:K10"/>
    <mergeCell ref="A7:C7"/>
    <mergeCell ref="A26:B26"/>
    <mergeCell ref="I26:K26"/>
    <mergeCell ref="G17:K17"/>
    <mergeCell ref="A23:B23"/>
    <mergeCell ref="E7:H7"/>
    <mergeCell ref="I7:K7"/>
    <mergeCell ref="C8:J8"/>
    <mergeCell ref="A9:A10"/>
    <mergeCell ref="B9:B10"/>
    <mergeCell ref="C9:D9"/>
    <mergeCell ref="E9:F9"/>
    <mergeCell ref="D1:E1"/>
    <mergeCell ref="I1:J1"/>
    <mergeCell ref="A2:J2"/>
    <mergeCell ref="A3:J3"/>
    <mergeCell ref="A5:K5"/>
  </mergeCells>
  <printOptions horizontalCentered="1"/>
  <pageMargins left="0.70866141732283472" right="7.874015748031496E-2" top="0.39370078740157483" bottom="0" header="7.874015748031496E-2" footer="7.874015748031496E-2"/>
  <pageSetup paperSize="9"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66"/>
  <sheetViews>
    <sheetView view="pageBreakPreview" topLeftCell="A10" zoomScale="80" zoomScaleSheetLayoutView="80" workbookViewId="0">
      <selection activeCell="C32" sqref="C32"/>
    </sheetView>
  </sheetViews>
  <sheetFormatPr defaultRowHeight="12.75" x14ac:dyDescent="0.2"/>
  <cols>
    <col min="2" max="2" width="16.42578125" customWidth="1"/>
    <col min="3" max="3" width="16.28515625" style="87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2" ht="15" x14ac:dyDescent="0.2">
      <c r="D1" s="1200"/>
      <c r="E1" s="1200"/>
      <c r="H1" s="17"/>
      <c r="I1" s="1203" t="s">
        <v>365</v>
      </c>
      <c r="J1" s="1203"/>
    </row>
    <row r="2" spans="1:12" ht="15" x14ac:dyDescent="0.2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2" ht="20.25" x14ac:dyDescent="0.3">
      <c r="A3" s="1202" t="s">
        <v>493</v>
      </c>
      <c r="B3" s="1202"/>
      <c r="C3" s="1202"/>
      <c r="D3" s="1202"/>
      <c r="E3" s="1202"/>
      <c r="F3" s="1202"/>
      <c r="G3" s="1202"/>
      <c r="H3" s="1202"/>
      <c r="I3" s="1202"/>
      <c r="J3" s="1202"/>
    </row>
    <row r="4" spans="1:12" ht="10.5" customHeight="1" x14ac:dyDescent="0.2"/>
    <row r="5" spans="1:12" s="128" customFormat="1" ht="18.75" customHeight="1" x14ac:dyDescent="0.25">
      <c r="A5" s="1457" t="s">
        <v>419</v>
      </c>
      <c r="B5" s="1457"/>
      <c r="C5" s="1457"/>
      <c r="D5" s="1457"/>
      <c r="E5" s="1457"/>
      <c r="F5" s="1457"/>
      <c r="G5" s="1457"/>
      <c r="H5" s="1457"/>
      <c r="I5" s="1457"/>
      <c r="J5" s="1457"/>
      <c r="K5" s="1457"/>
    </row>
    <row r="6" spans="1:12" s="128" customFormat="1" ht="15.75" customHeight="1" x14ac:dyDescent="0.25">
      <c r="A6" s="20"/>
      <c r="B6" s="20"/>
      <c r="C6" s="1012"/>
      <c r="D6" s="20"/>
      <c r="E6" s="20"/>
      <c r="F6" s="20"/>
      <c r="G6" s="20"/>
      <c r="H6" s="20"/>
      <c r="I6" s="20"/>
      <c r="J6" s="20"/>
    </row>
    <row r="7" spans="1:12" s="128" customFormat="1" x14ac:dyDescent="0.2">
      <c r="A7" s="1198" t="s">
        <v>661</v>
      </c>
      <c r="B7" s="1198"/>
      <c r="C7" s="1198"/>
      <c r="E7" s="1454"/>
      <c r="F7" s="1454"/>
      <c r="G7" s="1454"/>
      <c r="H7" s="1454"/>
      <c r="I7" s="1454" t="s">
        <v>948</v>
      </c>
      <c r="J7" s="1454"/>
      <c r="K7" s="1454"/>
    </row>
    <row r="8" spans="1:12" s="9" customFormat="1" ht="15.75" hidden="1" x14ac:dyDescent="0.25">
      <c r="C8" s="1210" t="s">
        <v>10</v>
      </c>
      <c r="D8" s="1210"/>
      <c r="E8" s="1210"/>
      <c r="F8" s="1210"/>
      <c r="G8" s="1210"/>
      <c r="H8" s="1210"/>
      <c r="I8" s="1210"/>
      <c r="J8" s="1210"/>
    </row>
    <row r="9" spans="1:12" ht="32.25" customHeight="1" x14ac:dyDescent="0.2">
      <c r="A9" s="1447" t="s">
        <v>17</v>
      </c>
      <c r="B9" s="1447" t="s">
        <v>30</v>
      </c>
      <c r="C9" s="1445" t="s">
        <v>496</v>
      </c>
      <c r="D9" s="1446"/>
      <c r="E9" s="1445" t="s">
        <v>31</v>
      </c>
      <c r="F9" s="1446"/>
      <c r="G9" s="1445" t="s">
        <v>32</v>
      </c>
      <c r="H9" s="1446"/>
      <c r="I9" s="1404" t="s">
        <v>96</v>
      </c>
      <c r="J9" s="1404"/>
      <c r="K9" s="1447" t="s">
        <v>224</v>
      </c>
    </row>
    <row r="10" spans="1:12" s="10" customFormat="1" ht="57.75" customHeight="1" x14ac:dyDescent="0.2">
      <c r="A10" s="1448"/>
      <c r="B10" s="1448"/>
      <c r="C10" s="758" t="s">
        <v>33</v>
      </c>
      <c r="D10" s="1013" t="s">
        <v>738</v>
      </c>
      <c r="E10" s="1013" t="s">
        <v>33</v>
      </c>
      <c r="F10" s="1013" t="s">
        <v>738</v>
      </c>
      <c r="G10" s="1013" t="s">
        <v>33</v>
      </c>
      <c r="H10" s="1013" t="s">
        <v>738</v>
      </c>
      <c r="I10" s="1013" t="s">
        <v>124</v>
      </c>
      <c r="J10" s="1013" t="s">
        <v>739</v>
      </c>
      <c r="K10" s="1448"/>
    </row>
    <row r="11" spans="1:12" ht="15" x14ac:dyDescent="0.2">
      <c r="A11" s="678">
        <v>1</v>
      </c>
      <c r="B11" s="678">
        <v>2</v>
      </c>
      <c r="C11" s="764">
        <v>3</v>
      </c>
      <c r="D11" s="678">
        <v>4</v>
      </c>
      <c r="E11" s="678">
        <v>5</v>
      </c>
      <c r="F11" s="678">
        <v>6</v>
      </c>
      <c r="G11" s="678">
        <v>7</v>
      </c>
      <c r="H11" s="678">
        <v>8</v>
      </c>
      <c r="I11" s="678">
        <v>9</v>
      </c>
      <c r="J11" s="678">
        <v>10</v>
      </c>
      <c r="K11" s="679">
        <v>11</v>
      </c>
    </row>
    <row r="12" spans="1:12" s="442" customFormat="1" ht="24" customHeight="1" x14ac:dyDescent="0.25">
      <c r="A12" s="533">
        <v>1</v>
      </c>
      <c r="B12" s="534" t="s">
        <v>647</v>
      </c>
      <c r="C12" s="686">
        <v>3116</v>
      </c>
      <c r="D12" s="683">
        <v>2707.5</v>
      </c>
      <c r="E12" s="533">
        <v>832</v>
      </c>
      <c r="F12" s="683">
        <v>704.4</v>
      </c>
      <c r="G12" s="533">
        <v>175</v>
      </c>
      <c r="H12" s="683">
        <f>G12*1.5</f>
        <v>262.5</v>
      </c>
      <c r="I12" s="867">
        <v>528</v>
      </c>
      <c r="J12" s="684">
        <f>I12*1.5</f>
        <v>792</v>
      </c>
      <c r="K12" s="817" t="s">
        <v>7</v>
      </c>
      <c r="L12" s="685"/>
    </row>
    <row r="13" spans="1:12" s="442" customFormat="1" ht="24" customHeight="1" x14ac:dyDescent="0.25">
      <c r="A13" s="533">
        <v>2</v>
      </c>
      <c r="B13" s="534" t="s">
        <v>648</v>
      </c>
      <c r="C13" s="686">
        <v>2393</v>
      </c>
      <c r="D13" s="687">
        <v>2073.9</v>
      </c>
      <c r="E13" s="533">
        <v>676</v>
      </c>
      <c r="F13" s="687">
        <v>818.7</v>
      </c>
      <c r="G13" s="1020">
        <v>22</v>
      </c>
      <c r="H13" s="683">
        <f t="shared" ref="H13:H24" si="0">G13*1.5</f>
        <v>33</v>
      </c>
      <c r="I13" s="867">
        <v>228</v>
      </c>
      <c r="J13" s="684">
        <f t="shared" ref="J13:J24" si="1">I13*1.5</f>
        <v>342</v>
      </c>
      <c r="K13" s="817" t="s">
        <v>7</v>
      </c>
      <c r="L13" s="685"/>
    </row>
    <row r="14" spans="1:12" s="442" customFormat="1" ht="24" customHeight="1" x14ac:dyDescent="0.25">
      <c r="A14" s="533">
        <v>3</v>
      </c>
      <c r="B14" s="534" t="s">
        <v>649</v>
      </c>
      <c r="C14" s="686">
        <v>2986</v>
      </c>
      <c r="D14" s="687">
        <v>2482.8000000000002</v>
      </c>
      <c r="E14" s="533">
        <v>2224</v>
      </c>
      <c r="F14" s="687">
        <v>1842.9</v>
      </c>
      <c r="G14" s="1020">
        <v>117</v>
      </c>
      <c r="H14" s="683">
        <f t="shared" si="0"/>
        <v>175.5</v>
      </c>
      <c r="I14" s="867">
        <v>86</v>
      </c>
      <c r="J14" s="684">
        <f t="shared" si="1"/>
        <v>129</v>
      </c>
      <c r="K14" s="817" t="s">
        <v>7</v>
      </c>
      <c r="L14" s="685"/>
    </row>
    <row r="15" spans="1:12" s="442" customFormat="1" ht="24" customHeight="1" x14ac:dyDescent="0.25">
      <c r="A15" s="533">
        <v>4</v>
      </c>
      <c r="B15" s="534" t="s">
        <v>650</v>
      </c>
      <c r="C15" s="686">
        <v>4263</v>
      </c>
      <c r="D15" s="687">
        <v>3818.7</v>
      </c>
      <c r="E15" s="533">
        <v>520</v>
      </c>
      <c r="F15" s="687">
        <v>570.29999999999995</v>
      </c>
      <c r="G15" s="1020">
        <v>57</v>
      </c>
      <c r="H15" s="683">
        <f t="shared" si="0"/>
        <v>85.5</v>
      </c>
      <c r="I15" s="867">
        <v>1057</v>
      </c>
      <c r="J15" s="684">
        <f t="shared" si="1"/>
        <v>1585.5</v>
      </c>
      <c r="K15" s="817" t="s">
        <v>7</v>
      </c>
      <c r="L15" s="685"/>
    </row>
    <row r="16" spans="1:12" s="442" customFormat="1" ht="24" customHeight="1" x14ac:dyDescent="0.25">
      <c r="A16" s="533">
        <v>5</v>
      </c>
      <c r="B16" s="534" t="s">
        <v>651</v>
      </c>
      <c r="C16" s="686">
        <v>4277</v>
      </c>
      <c r="D16" s="687">
        <v>4388.7</v>
      </c>
      <c r="E16" s="533">
        <v>2628</v>
      </c>
      <c r="F16" s="687">
        <v>3102.3</v>
      </c>
      <c r="G16" s="1020">
        <v>330</v>
      </c>
      <c r="H16" s="683">
        <f t="shared" si="0"/>
        <v>495</v>
      </c>
      <c r="I16" s="867">
        <v>0</v>
      </c>
      <c r="J16" s="684">
        <f t="shared" si="1"/>
        <v>0</v>
      </c>
      <c r="K16" s="817" t="s">
        <v>7</v>
      </c>
      <c r="L16" s="685"/>
    </row>
    <row r="17" spans="1:12" s="442" customFormat="1" ht="24" customHeight="1" x14ac:dyDescent="0.25">
      <c r="A17" s="533">
        <v>6</v>
      </c>
      <c r="B17" s="534" t="s">
        <v>652</v>
      </c>
      <c r="C17" s="686">
        <v>3045</v>
      </c>
      <c r="D17" s="687">
        <v>2448.9</v>
      </c>
      <c r="E17" s="533">
        <v>324</v>
      </c>
      <c r="F17" s="687">
        <v>254.7</v>
      </c>
      <c r="G17" s="1020">
        <v>147</v>
      </c>
      <c r="H17" s="683">
        <f t="shared" si="0"/>
        <v>220.5</v>
      </c>
      <c r="I17" s="867">
        <v>477</v>
      </c>
      <c r="J17" s="684">
        <f t="shared" si="1"/>
        <v>715.5</v>
      </c>
      <c r="K17" s="817" t="s">
        <v>7</v>
      </c>
      <c r="L17" s="685"/>
    </row>
    <row r="18" spans="1:12" s="442" customFormat="1" ht="24" customHeight="1" x14ac:dyDescent="0.25">
      <c r="A18" s="533">
        <v>7</v>
      </c>
      <c r="B18" s="534" t="s">
        <v>653</v>
      </c>
      <c r="C18" s="686">
        <v>3372</v>
      </c>
      <c r="D18" s="687">
        <v>2766.6</v>
      </c>
      <c r="E18" s="533">
        <v>1452</v>
      </c>
      <c r="F18" s="687">
        <v>1350.9</v>
      </c>
      <c r="G18" s="1020">
        <v>109</v>
      </c>
      <c r="H18" s="683">
        <f t="shared" si="0"/>
        <v>163.5</v>
      </c>
      <c r="I18" s="867">
        <v>184</v>
      </c>
      <c r="J18" s="684">
        <f t="shared" si="1"/>
        <v>276</v>
      </c>
      <c r="K18" s="817" t="s">
        <v>7</v>
      </c>
      <c r="L18" s="685"/>
    </row>
    <row r="19" spans="1:12" s="442" customFormat="1" ht="24" customHeight="1" x14ac:dyDescent="0.25">
      <c r="A19" s="533">
        <v>8</v>
      </c>
      <c r="B19" s="534" t="s">
        <v>654</v>
      </c>
      <c r="C19" s="686">
        <v>3726</v>
      </c>
      <c r="D19" s="687">
        <v>3162.6</v>
      </c>
      <c r="E19" s="533">
        <v>1737</v>
      </c>
      <c r="F19" s="687">
        <v>1771.1999999999998</v>
      </c>
      <c r="G19" s="1020">
        <v>134</v>
      </c>
      <c r="H19" s="683">
        <f t="shared" si="0"/>
        <v>201</v>
      </c>
      <c r="I19" s="867">
        <v>86</v>
      </c>
      <c r="J19" s="684">
        <f t="shared" si="1"/>
        <v>129</v>
      </c>
      <c r="K19" s="817" t="s">
        <v>7</v>
      </c>
      <c r="L19" s="685"/>
    </row>
    <row r="20" spans="1:12" s="442" customFormat="1" ht="24" customHeight="1" x14ac:dyDescent="0.25">
      <c r="A20" s="533">
        <v>9</v>
      </c>
      <c r="B20" s="534" t="s">
        <v>655</v>
      </c>
      <c r="C20" s="686">
        <v>2683</v>
      </c>
      <c r="D20" s="687">
        <v>1935.6</v>
      </c>
      <c r="E20" s="533">
        <v>1008</v>
      </c>
      <c r="F20" s="687">
        <v>780.3</v>
      </c>
      <c r="G20" s="1020">
        <v>42</v>
      </c>
      <c r="H20" s="683">
        <f t="shared" si="0"/>
        <v>63</v>
      </c>
      <c r="I20" s="867">
        <v>125</v>
      </c>
      <c r="J20" s="684">
        <f t="shared" si="1"/>
        <v>187.5</v>
      </c>
      <c r="K20" s="817" t="s">
        <v>7</v>
      </c>
      <c r="L20" s="685"/>
    </row>
    <row r="21" spans="1:12" s="442" customFormat="1" ht="24" customHeight="1" x14ac:dyDescent="0.25">
      <c r="A21" s="533">
        <v>10</v>
      </c>
      <c r="B21" s="534" t="s">
        <v>656</v>
      </c>
      <c r="C21" s="686">
        <v>3950</v>
      </c>
      <c r="D21" s="687">
        <v>3227.7</v>
      </c>
      <c r="E21" s="533">
        <v>1500</v>
      </c>
      <c r="F21" s="687">
        <v>1035.9000000000001</v>
      </c>
      <c r="G21" s="1020">
        <v>72</v>
      </c>
      <c r="H21" s="683">
        <f t="shared" si="0"/>
        <v>108</v>
      </c>
      <c r="I21" s="867">
        <v>730</v>
      </c>
      <c r="J21" s="684">
        <f t="shared" si="1"/>
        <v>1095</v>
      </c>
      <c r="K21" s="817" t="s">
        <v>7</v>
      </c>
      <c r="L21" s="685"/>
    </row>
    <row r="22" spans="1:12" s="442" customFormat="1" ht="24" customHeight="1" x14ac:dyDescent="0.25">
      <c r="A22" s="533">
        <v>11</v>
      </c>
      <c r="B22" s="534" t="s">
        <v>657</v>
      </c>
      <c r="C22" s="686">
        <v>2580</v>
      </c>
      <c r="D22" s="687">
        <v>2031.3000000000002</v>
      </c>
      <c r="E22" s="533">
        <v>1376</v>
      </c>
      <c r="F22" s="687">
        <v>1128</v>
      </c>
      <c r="G22" s="1020">
        <v>92</v>
      </c>
      <c r="H22" s="683">
        <f t="shared" si="0"/>
        <v>138</v>
      </c>
      <c r="I22" s="867">
        <v>109</v>
      </c>
      <c r="J22" s="684">
        <f t="shared" si="1"/>
        <v>163.5</v>
      </c>
      <c r="K22" s="817" t="s">
        <v>7</v>
      </c>
      <c r="L22" s="685"/>
    </row>
    <row r="23" spans="1:12" s="442" customFormat="1" ht="24" customHeight="1" x14ac:dyDescent="0.25">
      <c r="A23" s="533">
        <v>12</v>
      </c>
      <c r="B23" s="534" t="s">
        <v>658</v>
      </c>
      <c r="C23" s="686">
        <v>3969</v>
      </c>
      <c r="D23" s="687">
        <v>3549.6</v>
      </c>
      <c r="E23" s="533">
        <v>1839</v>
      </c>
      <c r="F23" s="687">
        <v>1240.1999999999998</v>
      </c>
      <c r="G23" s="1020">
        <v>340</v>
      </c>
      <c r="H23" s="683">
        <f t="shared" si="0"/>
        <v>510</v>
      </c>
      <c r="I23" s="867">
        <v>806</v>
      </c>
      <c r="J23" s="684">
        <f t="shared" si="1"/>
        <v>1209</v>
      </c>
      <c r="K23" s="817" t="s">
        <v>7</v>
      </c>
      <c r="L23" s="685"/>
    </row>
    <row r="24" spans="1:12" s="442" customFormat="1" ht="24" customHeight="1" x14ac:dyDescent="0.25">
      <c r="A24" s="533">
        <v>13</v>
      </c>
      <c r="B24" s="534" t="s">
        <v>659</v>
      </c>
      <c r="C24" s="686">
        <v>3956</v>
      </c>
      <c r="D24" s="687">
        <v>3788.4</v>
      </c>
      <c r="E24" s="533">
        <v>1334</v>
      </c>
      <c r="F24" s="687">
        <v>1054.1999999999998</v>
      </c>
      <c r="G24" s="1020">
        <v>237</v>
      </c>
      <c r="H24" s="683">
        <f t="shared" si="0"/>
        <v>355.5</v>
      </c>
      <c r="I24" s="867">
        <v>1053</v>
      </c>
      <c r="J24" s="684">
        <f t="shared" si="1"/>
        <v>1579.5</v>
      </c>
      <c r="K24" s="817" t="s">
        <v>7</v>
      </c>
      <c r="L24" s="685"/>
    </row>
    <row r="25" spans="1:12" s="446" customFormat="1" ht="24" customHeight="1" x14ac:dyDescent="0.3">
      <c r="A25" s="1455" t="s">
        <v>660</v>
      </c>
      <c r="B25" s="1456"/>
      <c r="C25" s="493">
        <f>SUM(C12:C24)</f>
        <v>44316</v>
      </c>
      <c r="D25" s="1021">
        <f t="shared" ref="D25:I25" si="2">SUM(D12:D24)</f>
        <v>38382.299999999996</v>
      </c>
      <c r="E25" s="816">
        <f t="shared" si="2"/>
        <v>17450</v>
      </c>
      <c r="F25" s="1021">
        <f t="shared" si="2"/>
        <v>15654</v>
      </c>
      <c r="G25" s="816">
        <f t="shared" si="2"/>
        <v>1874</v>
      </c>
      <c r="H25" s="1021">
        <f t="shared" si="2"/>
        <v>2811</v>
      </c>
      <c r="I25" s="816">
        <f t="shared" si="2"/>
        <v>5469</v>
      </c>
      <c r="J25" s="1021">
        <f>SUM(J12:J24)</f>
        <v>8203.5</v>
      </c>
      <c r="K25" s="817" t="s">
        <v>7</v>
      </c>
      <c r="L25" s="688"/>
    </row>
    <row r="26" spans="1:12" s="442" customFormat="1" ht="15" x14ac:dyDescent="0.3">
      <c r="A26" s="446" t="s">
        <v>743</v>
      </c>
      <c r="C26" s="765"/>
      <c r="H26" s="1022"/>
    </row>
    <row r="27" spans="1:12" s="442" customFormat="1" ht="66" customHeight="1" x14ac:dyDescent="0.25">
      <c r="A27" s="1458" t="s">
        <v>699</v>
      </c>
      <c r="B27" s="1458"/>
      <c r="C27" s="765"/>
      <c r="D27" s="1460"/>
      <c r="E27" s="1460"/>
      <c r="F27" s="1460"/>
      <c r="G27" s="1460"/>
      <c r="I27" s="1459" t="s">
        <v>646</v>
      </c>
      <c r="J27" s="1459"/>
      <c r="K27" s="1459"/>
    </row>
    <row r="32" spans="1:12" x14ac:dyDescent="0.2">
      <c r="C32" t="s">
        <v>993</v>
      </c>
    </row>
    <row r="33" spans="1:10" x14ac:dyDescent="0.2">
      <c r="A33" s="1447" t="s">
        <v>17</v>
      </c>
      <c r="B33" s="1447" t="s">
        <v>30</v>
      </c>
      <c r="C33" s="1204" t="s">
        <v>994</v>
      </c>
      <c r="D33" s="1204"/>
      <c r="E33" s="1204" t="s">
        <v>995</v>
      </c>
      <c r="F33" s="1204"/>
      <c r="G33" s="1204" t="s">
        <v>996</v>
      </c>
      <c r="H33" s="1204"/>
      <c r="I33" s="1204" t="s">
        <v>997</v>
      </c>
      <c r="J33" s="1204"/>
    </row>
    <row r="34" spans="1:10" x14ac:dyDescent="0.2">
      <c r="A34" s="1448"/>
      <c r="B34" s="1448"/>
      <c r="C34" t="s">
        <v>998</v>
      </c>
      <c r="D34" t="s">
        <v>999</v>
      </c>
      <c r="E34" t="s">
        <v>998</v>
      </c>
      <c r="F34" t="s">
        <v>999</v>
      </c>
      <c r="G34" t="s">
        <v>998</v>
      </c>
      <c r="H34" t="s">
        <v>999</v>
      </c>
      <c r="I34" t="s">
        <v>998</v>
      </c>
      <c r="J34" t="s">
        <v>999</v>
      </c>
    </row>
    <row r="35" spans="1:10" ht="15.75" x14ac:dyDescent="0.2">
      <c r="A35" s="533">
        <v>1</v>
      </c>
      <c r="B35" s="534" t="s">
        <v>647</v>
      </c>
      <c r="C35">
        <v>2185</v>
      </c>
      <c r="D35">
        <v>931</v>
      </c>
      <c r="E35">
        <v>604</v>
      </c>
      <c r="F35">
        <v>228</v>
      </c>
      <c r="G35">
        <v>0</v>
      </c>
      <c r="H35">
        <v>175</v>
      </c>
      <c r="I35">
        <f>C35-E35</f>
        <v>1581</v>
      </c>
      <c r="J35">
        <f>D35-F35-H35</f>
        <v>528</v>
      </c>
    </row>
    <row r="36" spans="1:10" ht="15.75" x14ac:dyDescent="0.2">
      <c r="A36" s="533">
        <v>2</v>
      </c>
      <c r="B36" s="534" t="s">
        <v>648</v>
      </c>
      <c r="C36">
        <v>1684</v>
      </c>
      <c r="D36">
        <v>709</v>
      </c>
      <c r="E36">
        <v>217</v>
      </c>
      <c r="F36">
        <v>459</v>
      </c>
      <c r="G36">
        <v>0</v>
      </c>
      <c r="H36">
        <v>22</v>
      </c>
      <c r="I36">
        <f t="shared" ref="I36:I47" si="3">C36-E36</f>
        <v>1467</v>
      </c>
      <c r="J36">
        <f t="shared" ref="J36:J47" si="4">D36-F36-H36</f>
        <v>228</v>
      </c>
    </row>
    <row r="37" spans="1:10" ht="15.75" x14ac:dyDescent="0.2">
      <c r="A37" s="533">
        <v>3</v>
      </c>
      <c r="B37" s="534" t="s">
        <v>649</v>
      </c>
      <c r="C37">
        <v>2318</v>
      </c>
      <c r="D37">
        <v>768</v>
      </c>
      <c r="E37">
        <v>1659</v>
      </c>
      <c r="F37">
        <v>565</v>
      </c>
      <c r="G37">
        <v>0</v>
      </c>
      <c r="H37">
        <v>117</v>
      </c>
      <c r="I37">
        <f t="shared" si="3"/>
        <v>659</v>
      </c>
      <c r="J37">
        <f t="shared" si="4"/>
        <v>86</v>
      </c>
    </row>
    <row r="38" spans="1:10" ht="15.75" x14ac:dyDescent="0.2">
      <c r="A38" s="533">
        <v>4</v>
      </c>
      <c r="B38" s="534" t="s">
        <v>650</v>
      </c>
      <c r="C38">
        <v>2912</v>
      </c>
      <c r="D38">
        <v>1401</v>
      </c>
      <c r="E38">
        <v>233</v>
      </c>
      <c r="F38">
        <v>287</v>
      </c>
      <c r="G38">
        <v>0</v>
      </c>
      <c r="H38">
        <v>57</v>
      </c>
      <c r="I38">
        <f t="shared" si="3"/>
        <v>2679</v>
      </c>
      <c r="J38">
        <f t="shared" si="4"/>
        <v>1057</v>
      </c>
    </row>
    <row r="39" spans="1:10" ht="15.75" x14ac:dyDescent="0.2">
      <c r="A39" s="533">
        <v>5</v>
      </c>
      <c r="B39" s="534" t="s">
        <v>651</v>
      </c>
      <c r="C39">
        <v>1270</v>
      </c>
      <c r="D39">
        <v>2025</v>
      </c>
      <c r="E39">
        <v>933</v>
      </c>
      <c r="F39">
        <v>1695</v>
      </c>
      <c r="G39">
        <v>0</v>
      </c>
      <c r="H39">
        <f>D39-F39</f>
        <v>330</v>
      </c>
      <c r="I39">
        <f t="shared" si="3"/>
        <v>337</v>
      </c>
      <c r="J39">
        <f t="shared" si="4"/>
        <v>0</v>
      </c>
    </row>
    <row r="40" spans="1:10" ht="15.75" x14ac:dyDescent="0.2">
      <c r="A40" s="533">
        <v>6</v>
      </c>
      <c r="B40" s="534" t="s">
        <v>652</v>
      </c>
      <c r="C40">
        <v>2504</v>
      </c>
      <c r="D40">
        <v>691</v>
      </c>
      <c r="E40">
        <v>257</v>
      </c>
      <c r="F40">
        <v>67</v>
      </c>
      <c r="G40">
        <v>0</v>
      </c>
      <c r="H40">
        <v>147</v>
      </c>
      <c r="I40">
        <f t="shared" si="3"/>
        <v>2247</v>
      </c>
      <c r="J40">
        <f t="shared" si="4"/>
        <v>477</v>
      </c>
    </row>
    <row r="41" spans="1:10" ht="15.75" x14ac:dyDescent="0.2">
      <c r="A41" s="533">
        <v>7</v>
      </c>
      <c r="B41" s="534" t="s">
        <v>653</v>
      </c>
      <c r="C41">
        <v>2796</v>
      </c>
      <c r="D41">
        <v>826</v>
      </c>
      <c r="E41">
        <v>919</v>
      </c>
      <c r="F41">
        <v>533</v>
      </c>
      <c r="G41">
        <v>0</v>
      </c>
      <c r="H41">
        <v>109</v>
      </c>
      <c r="I41">
        <f t="shared" si="3"/>
        <v>1877</v>
      </c>
      <c r="J41">
        <f t="shared" si="4"/>
        <v>184</v>
      </c>
    </row>
    <row r="42" spans="1:10" ht="15.75" x14ac:dyDescent="0.2">
      <c r="A42" s="533">
        <v>8</v>
      </c>
      <c r="B42" s="534" t="s">
        <v>654</v>
      </c>
      <c r="C42">
        <v>2726</v>
      </c>
      <c r="D42">
        <v>1030</v>
      </c>
      <c r="E42">
        <v>927</v>
      </c>
      <c r="F42">
        <v>810</v>
      </c>
      <c r="G42">
        <v>0</v>
      </c>
      <c r="H42">
        <v>134</v>
      </c>
      <c r="I42">
        <f t="shared" si="3"/>
        <v>1799</v>
      </c>
      <c r="J42">
        <f t="shared" si="4"/>
        <v>86</v>
      </c>
    </row>
    <row r="43" spans="1:10" ht="15.75" x14ac:dyDescent="0.2">
      <c r="A43" s="533">
        <v>9</v>
      </c>
      <c r="B43" s="534" t="s">
        <v>655</v>
      </c>
      <c r="C43">
        <v>2623</v>
      </c>
      <c r="D43">
        <v>362</v>
      </c>
      <c r="E43">
        <v>813</v>
      </c>
      <c r="F43">
        <v>195</v>
      </c>
      <c r="G43">
        <v>0</v>
      </c>
      <c r="H43">
        <v>42</v>
      </c>
      <c r="I43">
        <f t="shared" si="3"/>
        <v>1810</v>
      </c>
      <c r="J43">
        <f t="shared" si="4"/>
        <v>125</v>
      </c>
    </row>
    <row r="44" spans="1:10" ht="15.75" x14ac:dyDescent="0.2">
      <c r="A44" s="533">
        <v>10</v>
      </c>
      <c r="B44" s="534" t="s">
        <v>656</v>
      </c>
      <c r="C44">
        <v>2997</v>
      </c>
      <c r="D44">
        <v>953</v>
      </c>
      <c r="E44">
        <v>1349</v>
      </c>
      <c r="F44">
        <v>151</v>
      </c>
      <c r="G44">
        <v>0</v>
      </c>
      <c r="H44">
        <v>72</v>
      </c>
      <c r="I44">
        <f t="shared" si="3"/>
        <v>1648</v>
      </c>
      <c r="J44">
        <f t="shared" si="4"/>
        <v>730</v>
      </c>
    </row>
    <row r="45" spans="1:10" ht="15.75" x14ac:dyDescent="0.2">
      <c r="A45" s="533">
        <v>11</v>
      </c>
      <c r="B45" s="534" t="s">
        <v>657</v>
      </c>
      <c r="C45">
        <v>2143</v>
      </c>
      <c r="D45">
        <v>537</v>
      </c>
      <c r="E45">
        <v>1040</v>
      </c>
      <c r="F45">
        <v>336</v>
      </c>
      <c r="G45">
        <v>0</v>
      </c>
      <c r="H45">
        <v>92</v>
      </c>
      <c r="I45">
        <f t="shared" si="3"/>
        <v>1103</v>
      </c>
      <c r="J45">
        <f t="shared" si="4"/>
        <v>109</v>
      </c>
    </row>
    <row r="46" spans="1:10" ht="15.75" x14ac:dyDescent="0.2">
      <c r="A46" s="533">
        <v>12</v>
      </c>
      <c r="B46" s="534" t="s">
        <v>658</v>
      </c>
      <c r="C46">
        <v>2671</v>
      </c>
      <c r="D46">
        <v>1298</v>
      </c>
      <c r="E46">
        <v>1687</v>
      </c>
      <c r="F46">
        <v>152</v>
      </c>
      <c r="G46">
        <v>0</v>
      </c>
      <c r="H46">
        <v>340</v>
      </c>
      <c r="I46">
        <f t="shared" si="3"/>
        <v>984</v>
      </c>
      <c r="J46">
        <f t="shared" si="4"/>
        <v>806</v>
      </c>
    </row>
    <row r="47" spans="1:10" ht="15.75" x14ac:dyDescent="0.2">
      <c r="A47" s="533">
        <v>13</v>
      </c>
      <c r="B47" s="534" t="s">
        <v>659</v>
      </c>
      <c r="C47">
        <v>2384</v>
      </c>
      <c r="D47">
        <v>1572</v>
      </c>
      <c r="E47">
        <v>1052</v>
      </c>
      <c r="F47">
        <v>282</v>
      </c>
      <c r="G47">
        <v>0</v>
      </c>
      <c r="H47">
        <v>237</v>
      </c>
      <c r="I47">
        <f t="shared" si="3"/>
        <v>1332</v>
      </c>
      <c r="J47">
        <f t="shared" si="4"/>
        <v>1053</v>
      </c>
    </row>
    <row r="48" spans="1:10" ht="15" x14ac:dyDescent="0.2">
      <c r="A48" s="1455" t="s">
        <v>660</v>
      </c>
      <c r="B48" s="1456"/>
      <c r="C48">
        <f>SUM(C35:C47)</f>
        <v>31213</v>
      </c>
      <c r="D48">
        <f t="shared" ref="D48:J48" si="5">SUM(D35:D47)</f>
        <v>13103</v>
      </c>
      <c r="E48">
        <f t="shared" si="5"/>
        <v>11690</v>
      </c>
      <c r="F48">
        <f t="shared" si="5"/>
        <v>5760</v>
      </c>
      <c r="G48">
        <f t="shared" si="5"/>
        <v>0</v>
      </c>
      <c r="H48">
        <f t="shared" si="5"/>
        <v>1874</v>
      </c>
      <c r="I48">
        <f t="shared" si="5"/>
        <v>19523</v>
      </c>
      <c r="J48">
        <f t="shared" si="5"/>
        <v>5469</v>
      </c>
    </row>
    <row r="49" spans="1:12" ht="15" x14ac:dyDescent="0.2">
      <c r="A49" s="1028" t="s">
        <v>17</v>
      </c>
      <c r="B49" s="1028" t="s">
        <v>30</v>
      </c>
      <c r="C49" s="1204" t="s">
        <v>994</v>
      </c>
      <c r="D49" s="1204"/>
      <c r="E49" s="1204" t="s">
        <v>995</v>
      </c>
      <c r="F49" s="1204"/>
      <c r="G49" s="1204" t="s">
        <v>996</v>
      </c>
      <c r="H49" s="1204"/>
      <c r="I49" s="1204" t="s">
        <v>997</v>
      </c>
      <c r="J49" s="1204"/>
    </row>
    <row r="50" spans="1:12" ht="15.75" x14ac:dyDescent="0.2">
      <c r="A50" s="533">
        <v>1</v>
      </c>
      <c r="B50" s="534" t="s">
        <v>647</v>
      </c>
      <c r="C50" s="568">
        <f>C35*0.6</f>
        <v>1311</v>
      </c>
      <c r="D50" s="568">
        <f>D35*1.5</f>
        <v>1396.5</v>
      </c>
      <c r="E50" s="568">
        <f>E35*0.6</f>
        <v>362.4</v>
      </c>
      <c r="F50" s="568">
        <f>F35*1.5</f>
        <v>342</v>
      </c>
      <c r="G50" s="568">
        <f>G35*0.6</f>
        <v>0</v>
      </c>
      <c r="H50" s="568">
        <f>H35*1.5</f>
        <v>262.5</v>
      </c>
      <c r="I50" s="568">
        <f>I35*0.6</f>
        <v>948.59999999999991</v>
      </c>
      <c r="J50" s="568">
        <f>J35*1.5</f>
        <v>792</v>
      </c>
      <c r="L50" s="568">
        <f>E50+F50</f>
        <v>704.4</v>
      </c>
    </row>
    <row r="51" spans="1:12" ht="15.75" x14ac:dyDescent="0.2">
      <c r="A51" s="533">
        <v>2</v>
      </c>
      <c r="B51" s="534" t="s">
        <v>648</v>
      </c>
      <c r="C51" s="568">
        <f t="shared" ref="C51:C62" si="6">C36*0.6</f>
        <v>1010.4</v>
      </c>
      <c r="D51" s="568">
        <f t="shared" ref="D51:F62" si="7">D36*1.5</f>
        <v>1063.5</v>
      </c>
      <c r="E51" s="568">
        <f t="shared" ref="E51:G62" si="8">E36*0.6</f>
        <v>130.19999999999999</v>
      </c>
      <c r="F51" s="568">
        <f t="shared" si="7"/>
        <v>688.5</v>
      </c>
      <c r="G51" s="568">
        <f t="shared" si="8"/>
        <v>0</v>
      </c>
      <c r="H51" s="568">
        <f t="shared" ref="H51:J62" si="9">H36*1.5</f>
        <v>33</v>
      </c>
      <c r="I51" s="568">
        <f t="shared" ref="I51:I62" si="10">I36*0.6</f>
        <v>880.19999999999993</v>
      </c>
      <c r="J51" s="568">
        <f t="shared" si="9"/>
        <v>342</v>
      </c>
      <c r="L51" s="568">
        <f t="shared" ref="L51:L62" si="11">E51+F51</f>
        <v>818.7</v>
      </c>
    </row>
    <row r="52" spans="1:12" ht="15.75" x14ac:dyDescent="0.2">
      <c r="A52" s="533">
        <v>3</v>
      </c>
      <c r="B52" s="534" t="s">
        <v>649</v>
      </c>
      <c r="C52" s="568">
        <f t="shared" si="6"/>
        <v>1390.8</v>
      </c>
      <c r="D52" s="568">
        <f t="shared" si="7"/>
        <v>1152</v>
      </c>
      <c r="E52" s="568">
        <f t="shared" si="8"/>
        <v>995.4</v>
      </c>
      <c r="F52" s="568">
        <f t="shared" si="7"/>
        <v>847.5</v>
      </c>
      <c r="G52" s="568">
        <f t="shared" si="8"/>
        <v>0</v>
      </c>
      <c r="H52" s="568">
        <f t="shared" si="9"/>
        <v>175.5</v>
      </c>
      <c r="I52" s="568">
        <f t="shared" si="10"/>
        <v>395.4</v>
      </c>
      <c r="J52" s="568">
        <f t="shared" si="9"/>
        <v>129</v>
      </c>
      <c r="L52" s="568">
        <f t="shared" si="11"/>
        <v>1842.9</v>
      </c>
    </row>
    <row r="53" spans="1:12" ht="15.75" x14ac:dyDescent="0.2">
      <c r="A53" s="533">
        <v>4</v>
      </c>
      <c r="B53" s="534" t="s">
        <v>650</v>
      </c>
      <c r="C53" s="568">
        <f t="shared" si="6"/>
        <v>1747.2</v>
      </c>
      <c r="D53" s="568">
        <f t="shared" si="7"/>
        <v>2101.5</v>
      </c>
      <c r="E53" s="568">
        <f t="shared" si="8"/>
        <v>139.79999999999998</v>
      </c>
      <c r="F53" s="568">
        <f t="shared" si="7"/>
        <v>430.5</v>
      </c>
      <c r="G53" s="568">
        <f t="shared" si="8"/>
        <v>0</v>
      </c>
      <c r="H53" s="568">
        <f t="shared" si="9"/>
        <v>85.5</v>
      </c>
      <c r="I53" s="568">
        <f t="shared" si="10"/>
        <v>1607.3999999999999</v>
      </c>
      <c r="J53" s="568">
        <f t="shared" si="9"/>
        <v>1585.5</v>
      </c>
      <c r="L53" s="568">
        <f t="shared" si="11"/>
        <v>570.29999999999995</v>
      </c>
    </row>
    <row r="54" spans="1:12" ht="15.75" x14ac:dyDescent="0.2">
      <c r="A54" s="533">
        <v>5</v>
      </c>
      <c r="B54" s="534" t="s">
        <v>651</v>
      </c>
      <c r="C54" s="568">
        <f t="shared" si="6"/>
        <v>762</v>
      </c>
      <c r="D54" s="568">
        <f t="shared" si="7"/>
        <v>3037.5</v>
      </c>
      <c r="E54" s="568">
        <f t="shared" si="8"/>
        <v>559.79999999999995</v>
      </c>
      <c r="F54" s="568">
        <f t="shared" si="7"/>
        <v>2542.5</v>
      </c>
      <c r="G54" s="568">
        <f t="shared" si="8"/>
        <v>0</v>
      </c>
      <c r="H54" s="568">
        <f t="shared" si="9"/>
        <v>495</v>
      </c>
      <c r="I54" s="568">
        <f t="shared" si="10"/>
        <v>202.2</v>
      </c>
      <c r="J54" s="568">
        <f t="shared" si="9"/>
        <v>0</v>
      </c>
      <c r="L54" s="568">
        <f t="shared" si="11"/>
        <v>3102.3</v>
      </c>
    </row>
    <row r="55" spans="1:12" ht="15.75" x14ac:dyDescent="0.2">
      <c r="A55" s="533">
        <v>6</v>
      </c>
      <c r="B55" s="534" t="s">
        <v>652</v>
      </c>
      <c r="C55" s="568">
        <f t="shared" si="6"/>
        <v>1502.3999999999999</v>
      </c>
      <c r="D55" s="568">
        <f t="shared" si="7"/>
        <v>1036.5</v>
      </c>
      <c r="E55" s="568">
        <f t="shared" si="8"/>
        <v>154.19999999999999</v>
      </c>
      <c r="F55" s="568">
        <f t="shared" si="7"/>
        <v>100.5</v>
      </c>
      <c r="G55" s="568">
        <f t="shared" si="8"/>
        <v>0</v>
      </c>
      <c r="H55" s="568">
        <f t="shared" si="9"/>
        <v>220.5</v>
      </c>
      <c r="I55" s="568">
        <f t="shared" si="10"/>
        <v>1348.2</v>
      </c>
      <c r="J55" s="568">
        <f t="shared" si="9"/>
        <v>715.5</v>
      </c>
      <c r="L55" s="568">
        <f t="shared" si="11"/>
        <v>254.7</v>
      </c>
    </row>
    <row r="56" spans="1:12" ht="15.75" x14ac:dyDescent="0.2">
      <c r="A56" s="533">
        <v>7</v>
      </c>
      <c r="B56" s="534" t="s">
        <v>653</v>
      </c>
      <c r="C56" s="568">
        <f t="shared" si="6"/>
        <v>1677.6</v>
      </c>
      <c r="D56" s="568">
        <f t="shared" si="7"/>
        <v>1239</v>
      </c>
      <c r="E56" s="568">
        <f t="shared" si="8"/>
        <v>551.4</v>
      </c>
      <c r="F56" s="568">
        <f>F41*1.5</f>
        <v>799.5</v>
      </c>
      <c r="G56" s="568">
        <f t="shared" si="8"/>
        <v>0</v>
      </c>
      <c r="H56" s="568">
        <f t="shared" si="9"/>
        <v>163.5</v>
      </c>
      <c r="I56" s="568">
        <f t="shared" si="10"/>
        <v>1126.2</v>
      </c>
      <c r="J56" s="568">
        <f t="shared" si="9"/>
        <v>276</v>
      </c>
      <c r="L56" s="568">
        <f t="shared" si="11"/>
        <v>1350.9</v>
      </c>
    </row>
    <row r="57" spans="1:12" ht="15.75" x14ac:dyDescent="0.2">
      <c r="A57" s="533">
        <v>8</v>
      </c>
      <c r="B57" s="534" t="s">
        <v>654</v>
      </c>
      <c r="C57" s="568">
        <f t="shared" si="6"/>
        <v>1635.6</v>
      </c>
      <c r="D57" s="568">
        <f t="shared" si="7"/>
        <v>1545</v>
      </c>
      <c r="E57" s="568">
        <f t="shared" si="8"/>
        <v>556.19999999999993</v>
      </c>
      <c r="F57" s="568">
        <f t="shared" si="7"/>
        <v>1215</v>
      </c>
      <c r="G57" s="568">
        <f t="shared" si="8"/>
        <v>0</v>
      </c>
      <c r="H57" s="568">
        <f t="shared" si="9"/>
        <v>201</v>
      </c>
      <c r="I57" s="568">
        <f t="shared" si="10"/>
        <v>1079.3999999999999</v>
      </c>
      <c r="J57" s="568">
        <f t="shared" si="9"/>
        <v>129</v>
      </c>
      <c r="L57" s="568">
        <f t="shared" si="11"/>
        <v>1771.1999999999998</v>
      </c>
    </row>
    <row r="58" spans="1:12" ht="15.75" x14ac:dyDescent="0.2">
      <c r="A58" s="533">
        <v>9</v>
      </c>
      <c r="B58" s="534" t="s">
        <v>655</v>
      </c>
      <c r="C58" s="568">
        <f t="shared" si="6"/>
        <v>1573.8</v>
      </c>
      <c r="D58" s="568">
        <f t="shared" si="7"/>
        <v>543</v>
      </c>
      <c r="E58" s="568">
        <f t="shared" si="8"/>
        <v>487.79999999999995</v>
      </c>
      <c r="F58" s="568">
        <f t="shared" si="7"/>
        <v>292.5</v>
      </c>
      <c r="G58" s="568">
        <f t="shared" si="8"/>
        <v>0</v>
      </c>
      <c r="H58" s="568">
        <f t="shared" si="9"/>
        <v>63</v>
      </c>
      <c r="I58" s="568">
        <f t="shared" si="10"/>
        <v>1086</v>
      </c>
      <c r="J58" s="568">
        <f t="shared" si="9"/>
        <v>187.5</v>
      </c>
      <c r="L58" s="568">
        <f t="shared" si="11"/>
        <v>780.3</v>
      </c>
    </row>
    <row r="59" spans="1:12" ht="15.75" x14ac:dyDescent="0.2">
      <c r="A59" s="533">
        <v>10</v>
      </c>
      <c r="B59" s="534" t="s">
        <v>656</v>
      </c>
      <c r="C59" s="568">
        <f t="shared" si="6"/>
        <v>1798.2</v>
      </c>
      <c r="D59" s="568">
        <f t="shared" si="7"/>
        <v>1429.5</v>
      </c>
      <c r="E59" s="568">
        <f t="shared" si="8"/>
        <v>809.4</v>
      </c>
      <c r="F59" s="568">
        <f t="shared" si="7"/>
        <v>226.5</v>
      </c>
      <c r="G59" s="568">
        <f t="shared" si="8"/>
        <v>0</v>
      </c>
      <c r="H59" s="568">
        <f t="shared" si="9"/>
        <v>108</v>
      </c>
      <c r="I59" s="568">
        <f t="shared" si="10"/>
        <v>988.8</v>
      </c>
      <c r="J59" s="568">
        <f t="shared" si="9"/>
        <v>1095</v>
      </c>
      <c r="L59" s="568">
        <f t="shared" si="11"/>
        <v>1035.9000000000001</v>
      </c>
    </row>
    <row r="60" spans="1:12" ht="15.75" x14ac:dyDescent="0.2">
      <c r="A60" s="533">
        <v>11</v>
      </c>
      <c r="B60" s="534" t="s">
        <v>657</v>
      </c>
      <c r="C60" s="568">
        <f t="shared" si="6"/>
        <v>1285.8</v>
      </c>
      <c r="D60" s="568">
        <f t="shared" si="7"/>
        <v>805.5</v>
      </c>
      <c r="E60" s="568">
        <f t="shared" si="8"/>
        <v>624</v>
      </c>
      <c r="F60" s="568">
        <f t="shared" si="7"/>
        <v>504</v>
      </c>
      <c r="G60" s="568">
        <f t="shared" si="8"/>
        <v>0</v>
      </c>
      <c r="H60" s="568">
        <f t="shared" si="9"/>
        <v>138</v>
      </c>
      <c r="I60" s="568">
        <f t="shared" si="10"/>
        <v>661.8</v>
      </c>
      <c r="J60" s="568">
        <f t="shared" si="9"/>
        <v>163.5</v>
      </c>
      <c r="L60" s="568">
        <f t="shared" si="11"/>
        <v>1128</v>
      </c>
    </row>
    <row r="61" spans="1:12" ht="15.75" x14ac:dyDescent="0.2">
      <c r="A61" s="533">
        <v>12</v>
      </c>
      <c r="B61" s="534" t="s">
        <v>658</v>
      </c>
      <c r="C61" s="568">
        <f t="shared" si="6"/>
        <v>1602.6</v>
      </c>
      <c r="D61" s="568">
        <f t="shared" si="7"/>
        <v>1947</v>
      </c>
      <c r="E61" s="568">
        <f t="shared" si="8"/>
        <v>1012.1999999999999</v>
      </c>
      <c r="F61" s="568">
        <f t="shared" si="7"/>
        <v>228</v>
      </c>
      <c r="G61" s="568">
        <f t="shared" si="8"/>
        <v>0</v>
      </c>
      <c r="H61" s="568">
        <f t="shared" si="9"/>
        <v>510</v>
      </c>
      <c r="I61" s="568">
        <f t="shared" si="10"/>
        <v>590.4</v>
      </c>
      <c r="J61" s="568">
        <f t="shared" si="9"/>
        <v>1209</v>
      </c>
      <c r="L61" s="568">
        <f t="shared" si="11"/>
        <v>1240.1999999999998</v>
      </c>
    </row>
    <row r="62" spans="1:12" ht="15.75" x14ac:dyDescent="0.2">
      <c r="A62" s="533">
        <v>13</v>
      </c>
      <c r="B62" s="534" t="s">
        <v>659</v>
      </c>
      <c r="C62" s="568">
        <f t="shared" si="6"/>
        <v>1430.3999999999999</v>
      </c>
      <c r="D62" s="568">
        <f t="shared" si="7"/>
        <v>2358</v>
      </c>
      <c r="E62" s="568">
        <f t="shared" si="8"/>
        <v>631.19999999999993</v>
      </c>
      <c r="F62" s="568">
        <f t="shared" si="7"/>
        <v>423</v>
      </c>
      <c r="G62" s="568">
        <f t="shared" si="8"/>
        <v>0</v>
      </c>
      <c r="H62" s="568">
        <f t="shared" si="9"/>
        <v>355.5</v>
      </c>
      <c r="I62" s="568">
        <f t="shared" si="10"/>
        <v>799.19999999999993</v>
      </c>
      <c r="J62" s="568">
        <f t="shared" si="9"/>
        <v>1579.5</v>
      </c>
      <c r="L62" s="568">
        <f t="shared" si="11"/>
        <v>1054.1999999999998</v>
      </c>
    </row>
    <row r="63" spans="1:12" ht="15" x14ac:dyDescent="0.2">
      <c r="A63" s="1455" t="s">
        <v>660</v>
      </c>
      <c r="B63" s="1456"/>
      <c r="C63">
        <f>SUM(C50:C62)</f>
        <v>18727.8</v>
      </c>
      <c r="D63">
        <f t="shared" ref="D63:J63" si="12">SUM(D50:D62)</f>
        <v>19654.5</v>
      </c>
      <c r="E63" s="568">
        <f t="shared" si="12"/>
        <v>7013.9999999999991</v>
      </c>
      <c r="F63" s="568">
        <f>SUM(F50:F62)</f>
        <v>8640</v>
      </c>
      <c r="G63">
        <f t="shared" si="12"/>
        <v>0</v>
      </c>
      <c r="H63">
        <f t="shared" si="12"/>
        <v>2811</v>
      </c>
      <c r="I63">
        <f t="shared" si="12"/>
        <v>11713.799999999997</v>
      </c>
      <c r="J63">
        <f t="shared" si="12"/>
        <v>8203.5</v>
      </c>
    </row>
    <row r="64" spans="1:12" x14ac:dyDescent="0.2">
      <c r="C64"/>
    </row>
    <row r="65" spans="3:3" x14ac:dyDescent="0.2">
      <c r="C65"/>
    </row>
    <row r="66" spans="3:3" x14ac:dyDescent="0.2">
      <c r="C66"/>
    </row>
  </sheetData>
  <mergeCells count="32">
    <mergeCell ref="K9:K10"/>
    <mergeCell ref="A25:B25"/>
    <mergeCell ref="A27:B27"/>
    <mergeCell ref="I27:K27"/>
    <mergeCell ref="D27:G27"/>
    <mergeCell ref="C8:J8"/>
    <mergeCell ref="A9:A10"/>
    <mergeCell ref="B9:B10"/>
    <mergeCell ref="C9:D9"/>
    <mergeCell ref="E9:F9"/>
    <mergeCell ref="G9:H9"/>
    <mergeCell ref="I9:J9"/>
    <mergeCell ref="A7:C7"/>
    <mergeCell ref="E7:H7"/>
    <mergeCell ref="I7:K7"/>
    <mergeCell ref="D1:E1"/>
    <mergeCell ref="I1:J1"/>
    <mergeCell ref="A2:J2"/>
    <mergeCell ref="A3:J3"/>
    <mergeCell ref="A5:K5"/>
    <mergeCell ref="A63:B63"/>
    <mergeCell ref="I33:J33"/>
    <mergeCell ref="A48:B48"/>
    <mergeCell ref="C49:D49"/>
    <mergeCell ref="E49:F49"/>
    <mergeCell ref="G49:H49"/>
    <mergeCell ref="I49:J49"/>
    <mergeCell ref="A33:A34"/>
    <mergeCell ref="B33:B34"/>
    <mergeCell ref="C33:D33"/>
    <mergeCell ref="E33:F33"/>
    <mergeCell ref="G33:H33"/>
  </mergeCells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5" tint="0.59999389629810485"/>
    <pageSetUpPr fitToPage="1"/>
  </sheetPr>
  <dimension ref="A1:S28"/>
  <sheetViews>
    <sheetView view="pageBreakPreview" topLeftCell="A10" zoomScale="90" zoomScaleSheetLayoutView="90" workbookViewId="0">
      <selection activeCell="C32" sqref="C32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1200"/>
      <c r="E1" s="1200"/>
      <c r="H1" s="17"/>
      <c r="J1" s="1203" t="s">
        <v>61</v>
      </c>
      <c r="K1" s="1203"/>
    </row>
    <row r="2" spans="1:19" ht="15" x14ac:dyDescent="0.2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9" ht="18" x14ac:dyDescent="0.25">
      <c r="A3" s="1463" t="s">
        <v>793</v>
      </c>
      <c r="B3" s="1463"/>
      <c r="C3" s="1463"/>
      <c r="D3" s="1463"/>
      <c r="E3" s="1463"/>
      <c r="F3" s="1463"/>
      <c r="G3" s="1463"/>
      <c r="H3" s="1463"/>
      <c r="I3" s="1463"/>
      <c r="J3" s="1463"/>
    </row>
    <row r="4" spans="1:19" ht="10.5" customHeight="1" x14ac:dyDescent="0.2"/>
    <row r="5" spans="1:19" s="11" customFormat="1" ht="15.75" customHeight="1" x14ac:dyDescent="0.2">
      <c r="A5" s="1466" t="s">
        <v>420</v>
      </c>
      <c r="B5" s="1466"/>
      <c r="C5" s="1466"/>
      <c r="D5" s="1466"/>
      <c r="E5" s="1466"/>
      <c r="F5" s="1466"/>
      <c r="G5" s="1466"/>
      <c r="H5" s="1466"/>
      <c r="I5" s="1466"/>
      <c r="J5" s="1466"/>
      <c r="K5" s="1466"/>
      <c r="L5" s="1466"/>
    </row>
    <row r="6" spans="1:19" s="11" customFormat="1" ht="15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9" s="11" customFormat="1" x14ac:dyDescent="0.2">
      <c r="A7" s="1198" t="s">
        <v>661</v>
      </c>
      <c r="B7" s="1198"/>
      <c r="I7" s="1454" t="s">
        <v>949</v>
      </c>
      <c r="J7" s="1454"/>
      <c r="K7" s="1454"/>
    </row>
    <row r="8" spans="1:19" s="9" customFormat="1" ht="15.75" hidden="1" x14ac:dyDescent="0.25">
      <c r="C8" s="1210" t="s">
        <v>10</v>
      </c>
      <c r="D8" s="1210"/>
      <c r="E8" s="1210"/>
      <c r="F8" s="1210"/>
      <c r="G8" s="1210"/>
      <c r="H8" s="1210"/>
      <c r="I8" s="1210"/>
      <c r="J8" s="1210"/>
    </row>
    <row r="9" spans="1:19" ht="53.25" customHeight="1" x14ac:dyDescent="0.2">
      <c r="A9" s="1212" t="s">
        <v>17</v>
      </c>
      <c r="B9" s="1212" t="s">
        <v>30</v>
      </c>
      <c r="C9" s="1464" t="s">
        <v>847</v>
      </c>
      <c r="D9" s="1465"/>
      <c r="E9" s="1464" t="s">
        <v>459</v>
      </c>
      <c r="F9" s="1465"/>
      <c r="G9" s="1464" t="s">
        <v>32</v>
      </c>
      <c r="H9" s="1465"/>
      <c r="I9" s="1199" t="s">
        <v>96</v>
      </c>
      <c r="J9" s="1199"/>
      <c r="K9" s="1212" t="s">
        <v>225</v>
      </c>
      <c r="R9" s="5"/>
      <c r="S9" s="8"/>
    </row>
    <row r="10" spans="1:19" s="10" customFormat="1" ht="46.5" customHeight="1" x14ac:dyDescent="0.2">
      <c r="A10" s="1213"/>
      <c r="B10" s="1213"/>
      <c r="C10" s="292" t="s">
        <v>33</v>
      </c>
      <c r="D10" s="292" t="s">
        <v>95</v>
      </c>
      <c r="E10" s="292" t="s">
        <v>33</v>
      </c>
      <c r="F10" s="292" t="s">
        <v>95</v>
      </c>
      <c r="G10" s="292" t="s">
        <v>33</v>
      </c>
      <c r="H10" s="292" t="s">
        <v>95</v>
      </c>
      <c r="I10" s="292" t="s">
        <v>124</v>
      </c>
      <c r="J10" s="292" t="s">
        <v>125</v>
      </c>
      <c r="K10" s="1213"/>
    </row>
    <row r="11" spans="1:19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9" s="442" customFormat="1" ht="21.75" customHeight="1" x14ac:dyDescent="0.25">
      <c r="A12" s="486">
        <v>1</v>
      </c>
      <c r="B12" s="487" t="s">
        <v>647</v>
      </c>
      <c r="C12" s="488">
        <v>3794</v>
      </c>
      <c r="D12" s="489">
        <v>189.7</v>
      </c>
      <c r="E12" s="488">
        <v>3794</v>
      </c>
      <c r="F12" s="489">
        <v>189.7</v>
      </c>
      <c r="G12" s="490">
        <v>0</v>
      </c>
      <c r="H12" s="491">
        <v>0</v>
      </c>
      <c r="I12" s="491">
        <v>0</v>
      </c>
      <c r="J12" s="491">
        <v>0</v>
      </c>
      <c r="K12" s="491">
        <v>0</v>
      </c>
    </row>
    <row r="13" spans="1:19" s="442" customFormat="1" ht="21.75" customHeight="1" x14ac:dyDescent="0.25">
      <c r="A13" s="486">
        <v>2</v>
      </c>
      <c r="B13" s="487" t="s">
        <v>648</v>
      </c>
      <c r="C13" s="488">
        <v>3280.08</v>
      </c>
      <c r="D13" s="489">
        <v>164.00399999999999</v>
      </c>
      <c r="E13" s="488">
        <v>3280.08</v>
      </c>
      <c r="F13" s="489">
        <v>164.00399999999999</v>
      </c>
      <c r="G13" s="490">
        <v>0</v>
      </c>
      <c r="H13" s="491">
        <v>0</v>
      </c>
      <c r="I13" s="491">
        <v>0</v>
      </c>
      <c r="J13" s="491">
        <v>0</v>
      </c>
      <c r="K13" s="491">
        <v>0</v>
      </c>
    </row>
    <row r="14" spans="1:19" s="442" customFormat="1" ht="21.75" customHeight="1" x14ac:dyDescent="0.25">
      <c r="A14" s="486">
        <v>3</v>
      </c>
      <c r="B14" s="487" t="s">
        <v>649</v>
      </c>
      <c r="C14" s="488">
        <v>5135.8599999999997</v>
      </c>
      <c r="D14" s="489">
        <v>256.79300000000001</v>
      </c>
      <c r="E14" s="488">
        <v>5135.8599999999997</v>
      </c>
      <c r="F14" s="489">
        <v>256.79300000000001</v>
      </c>
      <c r="G14" s="490">
        <v>0</v>
      </c>
      <c r="H14" s="491">
        <v>0</v>
      </c>
      <c r="I14" s="491">
        <v>0</v>
      </c>
      <c r="J14" s="491">
        <v>0</v>
      </c>
      <c r="K14" s="491">
        <v>0</v>
      </c>
    </row>
    <row r="15" spans="1:19" s="442" customFormat="1" ht="21.75" customHeight="1" x14ac:dyDescent="0.25">
      <c r="A15" s="486">
        <v>4</v>
      </c>
      <c r="B15" s="487" t="s">
        <v>650</v>
      </c>
      <c r="C15" s="488">
        <v>2329.66</v>
      </c>
      <c r="D15" s="489">
        <v>116.483</v>
      </c>
      <c r="E15" s="488">
        <v>2329.66</v>
      </c>
      <c r="F15" s="489">
        <v>116.483</v>
      </c>
      <c r="G15" s="490">
        <v>0</v>
      </c>
      <c r="H15" s="491">
        <v>0</v>
      </c>
      <c r="I15" s="491">
        <v>0</v>
      </c>
      <c r="J15" s="491">
        <v>0</v>
      </c>
      <c r="K15" s="491">
        <v>0</v>
      </c>
    </row>
    <row r="16" spans="1:19" s="442" customFormat="1" ht="21.75" customHeight="1" x14ac:dyDescent="0.25">
      <c r="A16" s="486">
        <v>5</v>
      </c>
      <c r="B16" s="487" t="s">
        <v>651</v>
      </c>
      <c r="C16" s="488">
        <v>1343</v>
      </c>
      <c r="D16" s="489">
        <v>67.150000000000006</v>
      </c>
      <c r="E16" s="488">
        <v>1343</v>
      </c>
      <c r="F16" s="489">
        <v>67.150000000000006</v>
      </c>
      <c r="G16" s="490">
        <v>0</v>
      </c>
      <c r="H16" s="491">
        <v>0</v>
      </c>
      <c r="I16" s="491">
        <v>0</v>
      </c>
      <c r="J16" s="491">
        <v>0</v>
      </c>
      <c r="K16" s="491">
        <v>0</v>
      </c>
    </row>
    <row r="17" spans="1:11" s="442" customFormat="1" ht="21.75" customHeight="1" x14ac:dyDescent="0.25">
      <c r="A17" s="486">
        <v>6</v>
      </c>
      <c r="B17" s="487" t="s">
        <v>652</v>
      </c>
      <c r="C17" s="488">
        <v>2818</v>
      </c>
      <c r="D17" s="489">
        <v>140.9</v>
      </c>
      <c r="E17" s="488">
        <v>2818</v>
      </c>
      <c r="F17" s="489">
        <v>140.9</v>
      </c>
      <c r="G17" s="490">
        <v>0</v>
      </c>
      <c r="H17" s="491">
        <v>0</v>
      </c>
      <c r="I17" s="491">
        <v>0</v>
      </c>
      <c r="J17" s="491">
        <v>0</v>
      </c>
      <c r="K17" s="491">
        <v>0</v>
      </c>
    </row>
    <row r="18" spans="1:11" s="442" customFormat="1" ht="21.75" customHeight="1" x14ac:dyDescent="0.25">
      <c r="A18" s="486">
        <v>7</v>
      </c>
      <c r="B18" s="487" t="s">
        <v>653</v>
      </c>
      <c r="C18" s="488">
        <v>2922.98</v>
      </c>
      <c r="D18" s="489">
        <v>146.149</v>
      </c>
      <c r="E18" s="488">
        <v>2922.98</v>
      </c>
      <c r="F18" s="489">
        <v>146.149</v>
      </c>
      <c r="G18" s="490">
        <v>0</v>
      </c>
      <c r="H18" s="491">
        <v>0</v>
      </c>
      <c r="I18" s="491">
        <v>0</v>
      </c>
      <c r="J18" s="491">
        <v>0</v>
      </c>
      <c r="K18" s="491">
        <v>0</v>
      </c>
    </row>
    <row r="19" spans="1:11" s="442" customFormat="1" ht="21.75" customHeight="1" x14ac:dyDescent="0.25">
      <c r="A19" s="486">
        <v>8</v>
      </c>
      <c r="B19" s="487" t="s">
        <v>654</v>
      </c>
      <c r="C19" s="488">
        <v>4951.96</v>
      </c>
      <c r="D19" s="489">
        <v>247.59800000000001</v>
      </c>
      <c r="E19" s="488">
        <v>4951.96</v>
      </c>
      <c r="F19" s="489">
        <v>247.59800000000001</v>
      </c>
      <c r="G19" s="490">
        <v>0</v>
      </c>
      <c r="H19" s="491">
        <v>0</v>
      </c>
      <c r="I19" s="491">
        <v>0</v>
      </c>
      <c r="J19" s="491">
        <v>0</v>
      </c>
      <c r="K19" s="491">
        <v>0</v>
      </c>
    </row>
    <row r="20" spans="1:11" s="442" customFormat="1" ht="21.75" customHeight="1" x14ac:dyDescent="0.25">
      <c r="A20" s="486">
        <v>9</v>
      </c>
      <c r="B20" s="487" t="s">
        <v>655</v>
      </c>
      <c r="C20" s="488">
        <v>3986.54</v>
      </c>
      <c r="D20" s="489">
        <v>199.327</v>
      </c>
      <c r="E20" s="488">
        <v>3986.54</v>
      </c>
      <c r="F20" s="489">
        <v>199.327</v>
      </c>
      <c r="G20" s="490">
        <v>0</v>
      </c>
      <c r="H20" s="491">
        <v>0</v>
      </c>
      <c r="I20" s="491">
        <v>0</v>
      </c>
      <c r="J20" s="491">
        <v>0</v>
      </c>
      <c r="K20" s="491">
        <v>0</v>
      </c>
    </row>
    <row r="21" spans="1:11" s="442" customFormat="1" ht="21.75" customHeight="1" x14ac:dyDescent="0.25">
      <c r="A21" s="486">
        <v>10</v>
      </c>
      <c r="B21" s="487" t="s">
        <v>656</v>
      </c>
      <c r="C21" s="488">
        <v>4334.84</v>
      </c>
      <c r="D21" s="489">
        <v>216.74199999999999</v>
      </c>
      <c r="E21" s="488">
        <v>4334.84</v>
      </c>
      <c r="F21" s="489">
        <v>216.74199999999999</v>
      </c>
      <c r="G21" s="490">
        <v>0</v>
      </c>
      <c r="H21" s="491">
        <v>0</v>
      </c>
      <c r="I21" s="491">
        <v>0</v>
      </c>
      <c r="J21" s="491">
        <v>0</v>
      </c>
      <c r="K21" s="491">
        <v>0</v>
      </c>
    </row>
    <row r="22" spans="1:11" s="442" customFormat="1" ht="21.75" customHeight="1" x14ac:dyDescent="0.25">
      <c r="A22" s="486">
        <v>11</v>
      </c>
      <c r="B22" s="487" t="s">
        <v>657</v>
      </c>
      <c r="C22" s="488">
        <v>3057.3</v>
      </c>
      <c r="D22" s="489">
        <v>152.86500000000001</v>
      </c>
      <c r="E22" s="488">
        <v>3057.3</v>
      </c>
      <c r="F22" s="489">
        <v>152.86500000000001</v>
      </c>
      <c r="G22" s="490">
        <v>0</v>
      </c>
      <c r="H22" s="491">
        <v>0</v>
      </c>
      <c r="I22" s="491">
        <v>0</v>
      </c>
      <c r="J22" s="491">
        <v>0</v>
      </c>
      <c r="K22" s="491">
        <v>0</v>
      </c>
    </row>
    <row r="23" spans="1:11" s="442" customFormat="1" ht="21.75" customHeight="1" x14ac:dyDescent="0.25">
      <c r="A23" s="486">
        <v>12</v>
      </c>
      <c r="B23" s="487" t="s">
        <v>658</v>
      </c>
      <c r="C23" s="488">
        <v>6073.26</v>
      </c>
      <c r="D23" s="489">
        <v>303.66300000000001</v>
      </c>
      <c r="E23" s="488">
        <v>6073.26</v>
      </c>
      <c r="F23" s="489">
        <v>303.66300000000001</v>
      </c>
      <c r="G23" s="490">
        <v>0</v>
      </c>
      <c r="H23" s="491">
        <v>0</v>
      </c>
      <c r="I23" s="491">
        <v>0</v>
      </c>
      <c r="J23" s="491">
        <v>0</v>
      </c>
      <c r="K23" s="491">
        <v>0</v>
      </c>
    </row>
    <row r="24" spans="1:11" s="442" customFormat="1" ht="21.75" customHeight="1" x14ac:dyDescent="0.25">
      <c r="A24" s="486">
        <v>13</v>
      </c>
      <c r="B24" s="487" t="s">
        <v>659</v>
      </c>
      <c r="C24" s="488">
        <v>3897.76</v>
      </c>
      <c r="D24" s="489">
        <v>194.88800000000001</v>
      </c>
      <c r="E24" s="488">
        <v>3897.76</v>
      </c>
      <c r="F24" s="489">
        <v>194.88800000000001</v>
      </c>
      <c r="G24" s="490">
        <v>0</v>
      </c>
      <c r="H24" s="491">
        <v>0</v>
      </c>
      <c r="I24" s="491">
        <v>0</v>
      </c>
      <c r="J24" s="491">
        <v>0</v>
      </c>
      <c r="K24" s="491">
        <v>0</v>
      </c>
    </row>
    <row r="25" spans="1:11" s="494" customFormat="1" ht="26.25" customHeight="1" x14ac:dyDescent="0.3">
      <c r="A25" s="1461" t="s">
        <v>660</v>
      </c>
      <c r="B25" s="1462"/>
      <c r="C25" s="492">
        <v>47925.240000000005</v>
      </c>
      <c r="D25" s="493">
        <v>2396.2619999999997</v>
      </c>
      <c r="E25" s="492">
        <v>47925.240000000005</v>
      </c>
      <c r="F25" s="493">
        <v>2396.2619999999997</v>
      </c>
      <c r="G25" s="816">
        <v>0</v>
      </c>
      <c r="H25" s="817">
        <v>0</v>
      </c>
      <c r="I25" s="817">
        <v>0</v>
      </c>
      <c r="J25" s="817">
        <v>0</v>
      </c>
      <c r="K25" s="817">
        <v>0</v>
      </c>
    </row>
    <row r="26" spans="1:11" s="442" customFormat="1" ht="13.5" x14ac:dyDescent="0.25"/>
    <row r="27" spans="1:11" s="442" customFormat="1" ht="13.5" x14ac:dyDescent="0.25"/>
    <row r="28" spans="1:11" s="442" customFormat="1" ht="66.75" customHeight="1" x14ac:dyDescent="0.25">
      <c r="A28" s="1458" t="s">
        <v>699</v>
      </c>
      <c r="B28" s="1458"/>
      <c r="I28" s="1459" t="s">
        <v>646</v>
      </c>
      <c r="J28" s="1459"/>
      <c r="K28" s="1459"/>
    </row>
  </sheetData>
  <mergeCells count="18">
    <mergeCell ref="B9:B10"/>
    <mergeCell ref="E9:F9"/>
    <mergeCell ref="A25:B25"/>
    <mergeCell ref="A28:B28"/>
    <mergeCell ref="I28:K28"/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L5"/>
    <mergeCell ref="C8:J8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5" tint="0.59999389629810485"/>
    <pageSetUpPr fitToPage="1"/>
  </sheetPr>
  <dimension ref="A1:S28"/>
  <sheetViews>
    <sheetView view="pageBreakPreview" topLeftCell="A13" zoomScale="90" zoomScaleSheetLayoutView="90" workbookViewId="0">
      <selection activeCell="C32" sqref="C32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1200"/>
      <c r="E1" s="1200"/>
      <c r="H1" s="17"/>
      <c r="J1" s="1203" t="s">
        <v>460</v>
      </c>
      <c r="K1" s="1203"/>
    </row>
    <row r="2" spans="1:19" ht="15" x14ac:dyDescent="0.2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9" ht="18" x14ac:dyDescent="0.25">
      <c r="A3" s="1463" t="s">
        <v>793</v>
      </c>
      <c r="B3" s="1463"/>
      <c r="C3" s="1463"/>
      <c r="D3" s="1463"/>
      <c r="E3" s="1463"/>
      <c r="F3" s="1463"/>
      <c r="G3" s="1463"/>
      <c r="H3" s="1463"/>
      <c r="I3" s="1463"/>
      <c r="J3" s="1463"/>
    </row>
    <row r="4" spans="1:19" ht="10.5" customHeight="1" x14ac:dyDescent="0.2"/>
    <row r="5" spans="1:19" s="11" customFormat="1" ht="15.75" customHeight="1" x14ac:dyDescent="0.2">
      <c r="A5" s="1467" t="s">
        <v>469</v>
      </c>
      <c r="B5" s="1467"/>
      <c r="C5" s="1467"/>
      <c r="D5" s="1467"/>
      <c r="E5" s="1467"/>
      <c r="F5" s="1467"/>
      <c r="G5" s="1467"/>
      <c r="H5" s="1467"/>
      <c r="I5" s="1467"/>
      <c r="J5" s="1467"/>
      <c r="K5" s="1467"/>
      <c r="L5" s="1467"/>
    </row>
    <row r="6" spans="1:19" s="11" customFormat="1" ht="15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9" s="11" customFormat="1" x14ac:dyDescent="0.2">
      <c r="A7" s="1198" t="s">
        <v>661</v>
      </c>
      <c r="B7" s="1198"/>
      <c r="I7" s="1454" t="s">
        <v>950</v>
      </c>
      <c r="J7" s="1454"/>
      <c r="K7" s="1454"/>
    </row>
    <row r="8" spans="1:19" s="9" customFormat="1" ht="15.75" hidden="1" x14ac:dyDescent="0.25">
      <c r="C8" s="1210" t="s">
        <v>10</v>
      </c>
      <c r="D8" s="1210"/>
      <c r="E8" s="1210"/>
      <c r="F8" s="1210"/>
      <c r="G8" s="1210"/>
      <c r="H8" s="1210"/>
      <c r="I8" s="1210"/>
      <c r="J8" s="1210"/>
    </row>
    <row r="9" spans="1:19" ht="53.25" customHeight="1" x14ac:dyDescent="0.2">
      <c r="A9" s="1212" t="s">
        <v>17</v>
      </c>
      <c r="B9" s="1212" t="s">
        <v>30</v>
      </c>
      <c r="C9" s="1464" t="s">
        <v>848</v>
      </c>
      <c r="D9" s="1465"/>
      <c r="E9" s="1464" t="s">
        <v>459</v>
      </c>
      <c r="F9" s="1465"/>
      <c r="G9" s="1464" t="s">
        <v>32</v>
      </c>
      <c r="H9" s="1465"/>
      <c r="I9" s="1199" t="s">
        <v>96</v>
      </c>
      <c r="J9" s="1199"/>
      <c r="K9" s="1212" t="s">
        <v>499</v>
      </c>
      <c r="R9" s="5"/>
      <c r="S9" s="8"/>
    </row>
    <row r="10" spans="1:19" s="10" customFormat="1" ht="46.5" customHeight="1" x14ac:dyDescent="0.2">
      <c r="A10" s="1213"/>
      <c r="B10" s="1213"/>
      <c r="C10" s="292" t="s">
        <v>33</v>
      </c>
      <c r="D10" s="292" t="s">
        <v>95</v>
      </c>
      <c r="E10" s="292" t="s">
        <v>33</v>
      </c>
      <c r="F10" s="292" t="s">
        <v>95</v>
      </c>
      <c r="G10" s="292" t="s">
        <v>33</v>
      </c>
      <c r="H10" s="292" t="s">
        <v>95</v>
      </c>
      <c r="I10" s="292" t="s">
        <v>124</v>
      </c>
      <c r="J10" s="292" t="s">
        <v>125</v>
      </c>
      <c r="K10" s="1213"/>
    </row>
    <row r="11" spans="1:19" x14ac:dyDescent="0.2">
      <c r="A11" s="85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</row>
    <row r="12" spans="1:19" ht="23.25" customHeight="1" x14ac:dyDescent="0.2">
      <c r="A12" s="486">
        <v>1</v>
      </c>
      <c r="B12" s="487" t="s">
        <v>647</v>
      </c>
      <c r="C12" s="495">
        <v>3794</v>
      </c>
      <c r="D12" s="496">
        <v>189.7</v>
      </c>
      <c r="E12" s="288" t="s">
        <v>7</v>
      </c>
      <c r="F12" s="288" t="s">
        <v>7</v>
      </c>
      <c r="G12" s="288" t="s">
        <v>7</v>
      </c>
      <c r="H12" s="288" t="s">
        <v>7</v>
      </c>
      <c r="I12" s="495">
        <v>3794</v>
      </c>
      <c r="J12" s="497">
        <v>189.7</v>
      </c>
      <c r="K12" s="288" t="s">
        <v>7</v>
      </c>
    </row>
    <row r="13" spans="1:19" ht="23.25" customHeight="1" x14ac:dyDescent="0.2">
      <c r="A13" s="486">
        <v>2</v>
      </c>
      <c r="B13" s="487" t="s">
        <v>648</v>
      </c>
      <c r="C13" s="495">
        <v>3280</v>
      </c>
      <c r="D13" s="496">
        <v>164</v>
      </c>
      <c r="E13" s="288" t="s">
        <v>7</v>
      </c>
      <c r="F13" s="288" t="s">
        <v>7</v>
      </c>
      <c r="G13" s="288" t="s">
        <v>7</v>
      </c>
      <c r="H13" s="288" t="s">
        <v>7</v>
      </c>
      <c r="I13" s="495">
        <v>3280</v>
      </c>
      <c r="J13" s="497">
        <v>164</v>
      </c>
      <c r="K13" s="288" t="s">
        <v>7</v>
      </c>
    </row>
    <row r="14" spans="1:19" ht="23.25" customHeight="1" x14ac:dyDescent="0.2">
      <c r="A14" s="486">
        <v>3</v>
      </c>
      <c r="B14" s="487" t="s">
        <v>649</v>
      </c>
      <c r="C14" s="495">
        <v>5136</v>
      </c>
      <c r="D14" s="496">
        <v>256.8</v>
      </c>
      <c r="E14" s="288" t="s">
        <v>7</v>
      </c>
      <c r="F14" s="288" t="s">
        <v>7</v>
      </c>
      <c r="G14" s="288" t="s">
        <v>7</v>
      </c>
      <c r="H14" s="288" t="s">
        <v>7</v>
      </c>
      <c r="I14" s="495">
        <v>5136</v>
      </c>
      <c r="J14" s="497">
        <v>256.8</v>
      </c>
      <c r="K14" s="288" t="s">
        <v>7</v>
      </c>
    </row>
    <row r="15" spans="1:19" ht="23.25" customHeight="1" x14ac:dyDescent="0.2">
      <c r="A15" s="486">
        <v>4</v>
      </c>
      <c r="B15" s="487" t="s">
        <v>650</v>
      </c>
      <c r="C15" s="495">
        <v>2331</v>
      </c>
      <c r="D15" s="496">
        <v>116.55</v>
      </c>
      <c r="E15" s="288" t="s">
        <v>7</v>
      </c>
      <c r="F15" s="288" t="s">
        <v>7</v>
      </c>
      <c r="G15" s="288" t="s">
        <v>7</v>
      </c>
      <c r="H15" s="288" t="s">
        <v>7</v>
      </c>
      <c r="I15" s="495">
        <v>2331</v>
      </c>
      <c r="J15" s="497">
        <v>116.55</v>
      </c>
      <c r="K15" s="288" t="s">
        <v>7</v>
      </c>
    </row>
    <row r="16" spans="1:19" ht="23.25" customHeight="1" x14ac:dyDescent="0.2">
      <c r="A16" s="486">
        <v>5</v>
      </c>
      <c r="B16" s="487" t="s">
        <v>651</v>
      </c>
      <c r="C16" s="495">
        <v>1343</v>
      </c>
      <c r="D16" s="496">
        <v>67.150000000000006</v>
      </c>
      <c r="E16" s="288" t="s">
        <v>7</v>
      </c>
      <c r="F16" s="288" t="s">
        <v>7</v>
      </c>
      <c r="G16" s="288" t="s">
        <v>7</v>
      </c>
      <c r="H16" s="288" t="s">
        <v>7</v>
      </c>
      <c r="I16" s="495">
        <v>1343</v>
      </c>
      <c r="J16" s="497">
        <v>67.150000000000006</v>
      </c>
      <c r="K16" s="288" t="s">
        <v>7</v>
      </c>
    </row>
    <row r="17" spans="1:11" ht="23.25" customHeight="1" x14ac:dyDescent="0.2">
      <c r="A17" s="486">
        <v>6</v>
      </c>
      <c r="B17" s="487" t="s">
        <v>652</v>
      </c>
      <c r="C17" s="495">
        <v>2818</v>
      </c>
      <c r="D17" s="496">
        <v>140.9</v>
      </c>
      <c r="E17" s="288" t="s">
        <v>7</v>
      </c>
      <c r="F17" s="288" t="s">
        <v>7</v>
      </c>
      <c r="G17" s="288" t="s">
        <v>7</v>
      </c>
      <c r="H17" s="288" t="s">
        <v>7</v>
      </c>
      <c r="I17" s="495">
        <v>2818</v>
      </c>
      <c r="J17" s="497">
        <v>140.9</v>
      </c>
      <c r="K17" s="288" t="s">
        <v>7</v>
      </c>
    </row>
    <row r="18" spans="1:11" ht="23.25" customHeight="1" x14ac:dyDescent="0.2">
      <c r="A18" s="486">
        <v>7</v>
      </c>
      <c r="B18" s="487" t="s">
        <v>653</v>
      </c>
      <c r="C18" s="495">
        <v>2923</v>
      </c>
      <c r="D18" s="496">
        <v>146.15</v>
      </c>
      <c r="E18" s="288" t="s">
        <v>7</v>
      </c>
      <c r="F18" s="288" t="s">
        <v>7</v>
      </c>
      <c r="G18" s="288" t="s">
        <v>7</v>
      </c>
      <c r="H18" s="288" t="s">
        <v>7</v>
      </c>
      <c r="I18" s="495">
        <v>2923</v>
      </c>
      <c r="J18" s="497">
        <v>146.15</v>
      </c>
      <c r="K18" s="288" t="s">
        <v>7</v>
      </c>
    </row>
    <row r="19" spans="1:11" ht="23.25" customHeight="1" x14ac:dyDescent="0.2">
      <c r="A19" s="486">
        <v>8</v>
      </c>
      <c r="B19" s="487" t="s">
        <v>654</v>
      </c>
      <c r="C19" s="495">
        <v>4952</v>
      </c>
      <c r="D19" s="496">
        <v>247.6</v>
      </c>
      <c r="E19" s="288" t="s">
        <v>7</v>
      </c>
      <c r="F19" s="288" t="s">
        <v>7</v>
      </c>
      <c r="G19" s="288" t="s">
        <v>7</v>
      </c>
      <c r="H19" s="288" t="s">
        <v>7</v>
      </c>
      <c r="I19" s="495">
        <v>4952</v>
      </c>
      <c r="J19" s="497">
        <v>247.6</v>
      </c>
      <c r="K19" s="288" t="s">
        <v>7</v>
      </c>
    </row>
    <row r="20" spans="1:11" ht="23.25" customHeight="1" x14ac:dyDescent="0.2">
      <c r="A20" s="486">
        <v>9</v>
      </c>
      <c r="B20" s="487" t="s">
        <v>655</v>
      </c>
      <c r="C20" s="495">
        <v>3987</v>
      </c>
      <c r="D20" s="496">
        <v>199.35</v>
      </c>
      <c r="E20" s="288" t="s">
        <v>7</v>
      </c>
      <c r="F20" s="288" t="s">
        <v>7</v>
      </c>
      <c r="G20" s="288" t="s">
        <v>7</v>
      </c>
      <c r="H20" s="288" t="s">
        <v>7</v>
      </c>
      <c r="I20" s="495">
        <v>3987</v>
      </c>
      <c r="J20" s="497">
        <v>199.35</v>
      </c>
      <c r="K20" s="288" t="s">
        <v>7</v>
      </c>
    </row>
    <row r="21" spans="1:11" ht="23.25" customHeight="1" x14ac:dyDescent="0.2">
      <c r="A21" s="486">
        <v>10</v>
      </c>
      <c r="B21" s="487" t="s">
        <v>656</v>
      </c>
      <c r="C21" s="495">
        <v>4335</v>
      </c>
      <c r="D21" s="496">
        <v>216.75</v>
      </c>
      <c r="E21" s="288" t="s">
        <v>7</v>
      </c>
      <c r="F21" s="288" t="s">
        <v>7</v>
      </c>
      <c r="G21" s="288" t="s">
        <v>7</v>
      </c>
      <c r="H21" s="288" t="s">
        <v>7</v>
      </c>
      <c r="I21" s="495">
        <v>4335</v>
      </c>
      <c r="J21" s="497">
        <v>216.75</v>
      </c>
      <c r="K21" s="288" t="s">
        <v>7</v>
      </c>
    </row>
    <row r="22" spans="1:11" ht="23.25" customHeight="1" x14ac:dyDescent="0.2">
      <c r="A22" s="486">
        <v>11</v>
      </c>
      <c r="B22" s="487" t="s">
        <v>657</v>
      </c>
      <c r="C22" s="495">
        <v>3057</v>
      </c>
      <c r="D22" s="496">
        <v>152.85</v>
      </c>
      <c r="E22" s="288" t="s">
        <v>7</v>
      </c>
      <c r="F22" s="288" t="s">
        <v>7</v>
      </c>
      <c r="G22" s="288" t="s">
        <v>7</v>
      </c>
      <c r="H22" s="288" t="s">
        <v>7</v>
      </c>
      <c r="I22" s="495">
        <v>3057</v>
      </c>
      <c r="J22" s="497">
        <v>152.85</v>
      </c>
      <c r="K22" s="288" t="s">
        <v>7</v>
      </c>
    </row>
    <row r="23" spans="1:11" ht="23.25" customHeight="1" x14ac:dyDescent="0.2">
      <c r="A23" s="486">
        <v>12</v>
      </c>
      <c r="B23" s="487" t="s">
        <v>658</v>
      </c>
      <c r="C23" s="495">
        <v>6073</v>
      </c>
      <c r="D23" s="496">
        <v>303.64999999999998</v>
      </c>
      <c r="E23" s="288" t="s">
        <v>7</v>
      </c>
      <c r="F23" s="288" t="s">
        <v>7</v>
      </c>
      <c r="G23" s="288" t="s">
        <v>7</v>
      </c>
      <c r="H23" s="288" t="s">
        <v>7</v>
      </c>
      <c r="I23" s="495">
        <v>6073</v>
      </c>
      <c r="J23" s="497">
        <v>303.64999999999998</v>
      </c>
      <c r="K23" s="288" t="s">
        <v>7</v>
      </c>
    </row>
    <row r="24" spans="1:11" ht="23.25" customHeight="1" x14ac:dyDescent="0.2">
      <c r="A24" s="486">
        <v>13</v>
      </c>
      <c r="B24" s="487" t="s">
        <v>659</v>
      </c>
      <c r="C24" s="495">
        <v>3898</v>
      </c>
      <c r="D24" s="496">
        <v>194.9</v>
      </c>
      <c r="E24" s="288" t="s">
        <v>7</v>
      </c>
      <c r="F24" s="288" t="s">
        <v>7</v>
      </c>
      <c r="G24" s="288" t="s">
        <v>7</v>
      </c>
      <c r="H24" s="288" t="s">
        <v>7</v>
      </c>
      <c r="I24" s="495">
        <v>3898</v>
      </c>
      <c r="J24" s="497">
        <v>194.9</v>
      </c>
      <c r="K24" s="288" t="s">
        <v>7</v>
      </c>
    </row>
    <row r="25" spans="1:11" s="22" customFormat="1" ht="23.25" customHeight="1" x14ac:dyDescent="0.25">
      <c r="A25" s="1461" t="s">
        <v>660</v>
      </c>
      <c r="B25" s="1462"/>
      <c r="C25" s="498">
        <v>47927</v>
      </c>
      <c r="D25" s="499">
        <v>2396.35</v>
      </c>
      <c r="E25" s="498">
        <v>0</v>
      </c>
      <c r="F25" s="498">
        <v>0</v>
      </c>
      <c r="G25" s="498">
        <v>0</v>
      </c>
      <c r="H25" s="498">
        <v>0</v>
      </c>
      <c r="I25" s="498">
        <v>47927</v>
      </c>
      <c r="J25" s="500">
        <v>2396.35</v>
      </c>
      <c r="K25" s="818">
        <v>0</v>
      </c>
    </row>
    <row r="28" spans="1:11" ht="74.25" customHeight="1" x14ac:dyDescent="0.2">
      <c r="A28" s="128" t="s">
        <v>700</v>
      </c>
      <c r="I28" s="1459" t="s">
        <v>646</v>
      </c>
      <c r="J28" s="1459"/>
      <c r="K28" s="1459"/>
    </row>
  </sheetData>
  <mergeCells count="17">
    <mergeCell ref="K9:K10"/>
    <mergeCell ref="A25:B25"/>
    <mergeCell ref="I28:K28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5" tint="0.59999389629810485"/>
    <pageSetUpPr fitToPage="1"/>
  </sheetPr>
  <dimension ref="A1:L26"/>
  <sheetViews>
    <sheetView view="pageBreakPreview" topLeftCell="A7" zoomScaleSheetLayoutView="100" workbookViewId="0"/>
  </sheetViews>
  <sheetFormatPr defaultRowHeight="12.75" x14ac:dyDescent="0.2"/>
  <cols>
    <col min="1" max="1" width="7.7109375" style="310" customWidth="1"/>
    <col min="2" max="2" width="17.140625" customWidth="1"/>
    <col min="3" max="3" width="14.5703125" customWidth="1"/>
    <col min="4" max="4" width="16.5703125" style="87" customWidth="1"/>
    <col min="5" max="5" width="15.5703125" style="87" customWidth="1"/>
    <col min="6" max="6" width="16" style="87" customWidth="1"/>
    <col min="7" max="7" width="14" style="87" customWidth="1"/>
  </cols>
  <sheetData>
    <row r="1" spans="1:12" x14ac:dyDescent="0.2">
      <c r="G1" s="88" t="s">
        <v>501</v>
      </c>
    </row>
    <row r="2" spans="1:12" ht="18" x14ac:dyDescent="0.35">
      <c r="A2" s="1420" t="s">
        <v>0</v>
      </c>
      <c r="B2" s="1420"/>
      <c r="C2" s="1420"/>
      <c r="D2" s="1420"/>
      <c r="E2" s="1420"/>
      <c r="F2" s="1420"/>
      <c r="G2" s="1420"/>
      <c r="H2" s="72"/>
      <c r="I2" s="72"/>
      <c r="J2" s="72"/>
      <c r="K2" s="72"/>
      <c r="L2" s="72"/>
    </row>
    <row r="3" spans="1:12" ht="21" x14ac:dyDescent="0.35">
      <c r="A3" s="1421" t="s">
        <v>493</v>
      </c>
      <c r="B3" s="1421"/>
      <c r="C3" s="1421"/>
      <c r="D3" s="1421"/>
      <c r="E3" s="1421"/>
      <c r="F3" s="1421"/>
      <c r="G3" s="1421"/>
      <c r="H3" s="73"/>
      <c r="I3" s="73"/>
      <c r="J3" s="73"/>
      <c r="K3" s="73"/>
      <c r="L3" s="73"/>
    </row>
    <row r="4" spans="1:12" ht="15" x14ac:dyDescent="0.3">
      <c r="A4" s="554"/>
      <c r="B4" s="68"/>
      <c r="C4" s="68"/>
      <c r="D4" s="86"/>
      <c r="E4" s="86"/>
      <c r="F4" s="86"/>
      <c r="G4" s="86"/>
      <c r="H4" s="68"/>
      <c r="I4" s="68"/>
      <c r="J4" s="68"/>
      <c r="K4" s="68"/>
      <c r="L4" s="68"/>
    </row>
    <row r="5" spans="1:12" ht="18" x14ac:dyDescent="0.35">
      <c r="A5" s="1420" t="s">
        <v>500</v>
      </c>
      <c r="B5" s="1420"/>
      <c r="C5" s="1420"/>
      <c r="D5" s="1420"/>
      <c r="E5" s="1420"/>
      <c r="F5" s="1420"/>
      <c r="G5" s="1420"/>
      <c r="H5" s="72"/>
      <c r="I5" s="72"/>
      <c r="J5" s="72"/>
      <c r="K5" s="72"/>
      <c r="L5" s="72"/>
    </row>
    <row r="6" spans="1:12" s="109" customFormat="1" ht="15" x14ac:dyDescent="0.2">
      <c r="A6" s="555" t="s">
        <v>687</v>
      </c>
      <c r="B6" s="547"/>
      <c r="C6" s="548"/>
      <c r="D6" s="549"/>
      <c r="E6" s="549"/>
      <c r="F6" s="1471" t="s">
        <v>924</v>
      </c>
      <c r="G6" s="1471"/>
      <c r="H6" s="548"/>
      <c r="I6" s="550"/>
      <c r="J6" s="550"/>
      <c r="K6" s="1469"/>
      <c r="L6" s="1469"/>
    </row>
    <row r="7" spans="1:12" s="109" customFormat="1" ht="22.5" customHeight="1" x14ac:dyDescent="0.2">
      <c r="A7" s="1416" t="s">
        <v>2</v>
      </c>
      <c r="B7" s="1416" t="s">
        <v>3</v>
      </c>
      <c r="C7" s="1470" t="s">
        <v>373</v>
      </c>
      <c r="D7" s="1472" t="s">
        <v>475</v>
      </c>
      <c r="E7" s="1473"/>
      <c r="F7" s="1473"/>
      <c r="G7" s="1474"/>
    </row>
    <row r="8" spans="1:12" s="109" customFormat="1" ht="26.25" customHeight="1" x14ac:dyDescent="0.2">
      <c r="A8" s="1416"/>
      <c r="B8" s="1416"/>
      <c r="C8" s="1470"/>
      <c r="D8" s="551" t="s">
        <v>476</v>
      </c>
      <c r="E8" s="551" t="s">
        <v>477</v>
      </c>
      <c r="F8" s="551" t="s">
        <v>478</v>
      </c>
      <c r="G8" s="551" t="s">
        <v>39</v>
      </c>
    </row>
    <row r="9" spans="1:12" s="109" customFormat="1" ht="15" x14ac:dyDescent="0.2">
      <c r="A9" s="455">
        <v>1</v>
      </c>
      <c r="B9" s="455">
        <v>2</v>
      </c>
      <c r="C9" s="455">
        <v>3</v>
      </c>
      <c r="D9" s="543">
        <v>6</v>
      </c>
      <c r="E9" s="543">
        <v>7</v>
      </c>
      <c r="F9" s="543">
        <v>8</v>
      </c>
      <c r="G9" s="543">
        <v>9</v>
      </c>
    </row>
    <row r="10" spans="1:12" s="109" customFormat="1" ht="20.25" customHeight="1" x14ac:dyDescent="0.2">
      <c r="A10" s="118">
        <v>1</v>
      </c>
      <c r="B10" s="552" t="s">
        <v>703</v>
      </c>
      <c r="C10" s="902">
        <f>'AT-3'!G9</f>
        <v>3154</v>
      </c>
      <c r="D10" s="693">
        <v>3103</v>
      </c>
      <c r="E10" s="905">
        <v>0</v>
      </c>
      <c r="F10" s="907">
        <f>(C10-D10-E10)</f>
        <v>51</v>
      </c>
      <c r="G10" s="906">
        <v>0</v>
      </c>
    </row>
    <row r="11" spans="1:12" s="109" customFormat="1" ht="20.25" customHeight="1" x14ac:dyDescent="0.2">
      <c r="A11" s="118">
        <v>2</v>
      </c>
      <c r="B11" s="552" t="s">
        <v>704</v>
      </c>
      <c r="C11" s="902">
        <f>'AT-3'!G10</f>
        <v>2701</v>
      </c>
      <c r="D11" s="904">
        <v>2674</v>
      </c>
      <c r="E11" s="904">
        <v>0</v>
      </c>
      <c r="F11" s="907">
        <f>(C11-D11-E11)</f>
        <v>27</v>
      </c>
      <c r="G11" s="904">
        <v>0</v>
      </c>
    </row>
    <row r="12" spans="1:12" s="109" customFormat="1" ht="20.25" customHeight="1" x14ac:dyDescent="0.2">
      <c r="A12" s="118">
        <v>3</v>
      </c>
      <c r="B12" s="552" t="s">
        <v>705</v>
      </c>
      <c r="C12" s="902">
        <f>'AT-3'!G11</f>
        <v>3863</v>
      </c>
      <c r="D12" s="904">
        <v>3858</v>
      </c>
      <c r="E12" s="904">
        <v>0</v>
      </c>
      <c r="F12" s="907">
        <f>(C12-D12-E12)</f>
        <v>5</v>
      </c>
      <c r="G12" s="904">
        <v>0</v>
      </c>
    </row>
    <row r="13" spans="1:12" s="109" customFormat="1" ht="20.25" customHeight="1" x14ac:dyDescent="0.2">
      <c r="A13" s="118">
        <v>4</v>
      </c>
      <c r="B13" s="552" t="s">
        <v>706</v>
      </c>
      <c r="C13" s="902">
        <f>'AT-3'!G12</f>
        <v>4264</v>
      </c>
      <c r="D13" s="904">
        <v>4153</v>
      </c>
      <c r="E13" s="904">
        <v>0</v>
      </c>
      <c r="F13" s="907">
        <f>(C13-D13-E13)</f>
        <v>111</v>
      </c>
      <c r="G13" s="904">
        <v>0</v>
      </c>
    </row>
    <row r="14" spans="1:12" s="109" customFormat="1" ht="20.25" customHeight="1" x14ac:dyDescent="0.2">
      <c r="A14" s="118">
        <v>5</v>
      </c>
      <c r="B14" s="552" t="s">
        <v>707</v>
      </c>
      <c r="C14" s="902">
        <f>'AT-3'!G13</f>
        <v>3242</v>
      </c>
      <c r="D14" s="907">
        <f>C14</f>
        <v>3242</v>
      </c>
      <c r="E14" s="904">
        <v>0</v>
      </c>
      <c r="F14" s="904">
        <f t="shared" ref="F14:F23" si="0">(C14-D14-E14)</f>
        <v>0</v>
      </c>
      <c r="G14" s="904">
        <v>0</v>
      </c>
    </row>
    <row r="15" spans="1:12" s="109" customFormat="1" ht="20.25" customHeight="1" x14ac:dyDescent="0.2">
      <c r="A15" s="118">
        <v>6</v>
      </c>
      <c r="B15" s="552" t="s">
        <v>708</v>
      </c>
      <c r="C15" s="902">
        <f>'AT-3'!G14</f>
        <v>3120</v>
      </c>
      <c r="D15" s="907">
        <f>C15</f>
        <v>3120</v>
      </c>
      <c r="E15" s="904">
        <v>0</v>
      </c>
      <c r="F15" s="904">
        <f t="shared" si="0"/>
        <v>0</v>
      </c>
      <c r="G15" s="904">
        <v>0</v>
      </c>
    </row>
    <row r="16" spans="1:12" s="109" customFormat="1" ht="20.25" customHeight="1" x14ac:dyDescent="0.2">
      <c r="A16" s="118">
        <v>7</v>
      </c>
      <c r="B16" s="552" t="s">
        <v>709</v>
      </c>
      <c r="C16" s="902">
        <f>'AT-3'!G15</f>
        <v>3497</v>
      </c>
      <c r="D16" s="907">
        <f>C16</f>
        <v>3497</v>
      </c>
      <c r="E16" s="904">
        <v>0</v>
      </c>
      <c r="F16" s="904">
        <f t="shared" si="0"/>
        <v>0</v>
      </c>
      <c r="G16" s="904">
        <v>0</v>
      </c>
    </row>
    <row r="17" spans="1:7" s="109" customFormat="1" ht="20.25" customHeight="1" x14ac:dyDescent="0.2">
      <c r="A17" s="118">
        <v>8</v>
      </c>
      <c r="B17" s="552" t="s">
        <v>710</v>
      </c>
      <c r="C17" s="902">
        <f>'AT-3'!G16</f>
        <v>3367</v>
      </c>
      <c r="D17" s="907">
        <f>C17</f>
        <v>3367</v>
      </c>
      <c r="E17" s="904">
        <v>0</v>
      </c>
      <c r="F17" s="904">
        <f t="shared" si="0"/>
        <v>0</v>
      </c>
      <c r="G17" s="904">
        <v>0</v>
      </c>
    </row>
    <row r="18" spans="1:7" s="109" customFormat="1" ht="20.25" customHeight="1" x14ac:dyDescent="0.2">
      <c r="A18" s="118">
        <v>9</v>
      </c>
      <c r="B18" s="552" t="s">
        <v>711</v>
      </c>
      <c r="C18" s="902">
        <f>'AT-3'!G17</f>
        <v>3425</v>
      </c>
      <c r="D18" s="904">
        <v>3253</v>
      </c>
      <c r="E18" s="904">
        <v>0</v>
      </c>
      <c r="F18" s="904">
        <f t="shared" si="0"/>
        <v>172</v>
      </c>
      <c r="G18" s="904">
        <v>0</v>
      </c>
    </row>
    <row r="19" spans="1:7" s="109" customFormat="1" ht="20.25" customHeight="1" x14ac:dyDescent="0.2">
      <c r="A19" s="118">
        <v>10</v>
      </c>
      <c r="B19" s="552" t="s">
        <v>712</v>
      </c>
      <c r="C19" s="902">
        <f>'AT-3'!G18</f>
        <v>4816</v>
      </c>
      <c r="D19" s="904">
        <v>4784</v>
      </c>
      <c r="E19" s="904">
        <v>0</v>
      </c>
      <c r="F19" s="904">
        <f t="shared" si="0"/>
        <v>32</v>
      </c>
      <c r="G19" s="904">
        <v>0</v>
      </c>
    </row>
    <row r="20" spans="1:7" s="109" customFormat="1" ht="20.25" customHeight="1" x14ac:dyDescent="0.2">
      <c r="A20" s="118">
        <v>11</v>
      </c>
      <c r="B20" s="552" t="s">
        <v>713</v>
      </c>
      <c r="C20" s="902">
        <f>'AT-3'!G19</f>
        <v>3369</v>
      </c>
      <c r="D20" s="904">
        <v>3338</v>
      </c>
      <c r="E20" s="904">
        <v>0</v>
      </c>
      <c r="F20" s="904">
        <f t="shared" si="0"/>
        <v>31</v>
      </c>
      <c r="G20" s="904">
        <v>0</v>
      </c>
    </row>
    <row r="21" spans="1:7" s="109" customFormat="1" ht="20.25" customHeight="1" x14ac:dyDescent="0.2">
      <c r="A21" s="118">
        <v>12</v>
      </c>
      <c r="B21" s="552" t="s">
        <v>714</v>
      </c>
      <c r="C21" s="902">
        <f>'AT-3'!G20</f>
        <v>3818</v>
      </c>
      <c r="D21" s="904">
        <v>3724</v>
      </c>
      <c r="E21" s="904">
        <v>0</v>
      </c>
      <c r="F21" s="904">
        <f t="shared" si="0"/>
        <v>94</v>
      </c>
      <c r="G21" s="904">
        <v>0</v>
      </c>
    </row>
    <row r="22" spans="1:7" s="109" customFormat="1" ht="20.25" customHeight="1" x14ac:dyDescent="0.2">
      <c r="A22" s="118">
        <v>13</v>
      </c>
      <c r="B22" s="553" t="s">
        <v>715</v>
      </c>
      <c r="C22" s="902">
        <f>'AT-3'!G21</f>
        <v>2869</v>
      </c>
      <c r="D22" s="904">
        <v>2713</v>
      </c>
      <c r="E22" s="904">
        <v>0</v>
      </c>
      <c r="F22" s="904">
        <f t="shared" si="0"/>
        <v>156</v>
      </c>
      <c r="G22" s="904">
        <v>0</v>
      </c>
    </row>
    <row r="23" spans="1:7" s="808" customFormat="1" ht="18.75" customHeight="1" x14ac:dyDescent="0.2">
      <c r="A23" s="1475" t="s">
        <v>13</v>
      </c>
      <c r="B23" s="1476"/>
      <c r="C23" s="908">
        <f>'T5_PLAN_vs_PRFM (2)'!G25+'T5A_PLAN_vs_PRFM  (3)'!G25+'T5B_PLAN_vs_PRFM  (3)'!G25</f>
        <v>45505</v>
      </c>
      <c r="D23" s="696">
        <f>SUM(D10:D22)</f>
        <v>44826</v>
      </c>
      <c r="E23" s="696">
        <f t="shared" ref="E23:G23" si="1">SUM(E10:E22)</f>
        <v>0</v>
      </c>
      <c r="F23" s="909">
        <f t="shared" si="0"/>
        <v>679</v>
      </c>
      <c r="G23" s="696">
        <f t="shared" si="1"/>
        <v>0</v>
      </c>
    </row>
    <row r="26" spans="1:7" ht="74.25" customHeight="1" x14ac:dyDescent="0.2">
      <c r="A26" s="128" t="s">
        <v>700</v>
      </c>
      <c r="D26"/>
      <c r="E26" s="1468" t="s">
        <v>646</v>
      </c>
      <c r="F26" s="1468"/>
      <c r="G26" s="1468"/>
    </row>
  </sheetData>
  <mergeCells count="11">
    <mergeCell ref="A2:G2"/>
    <mergeCell ref="A3:G3"/>
    <mergeCell ref="A5:G5"/>
    <mergeCell ref="D7:G7"/>
    <mergeCell ref="A23:B23"/>
    <mergeCell ref="E26:G26"/>
    <mergeCell ref="K6:L6"/>
    <mergeCell ref="A7:A8"/>
    <mergeCell ref="B7:B8"/>
    <mergeCell ref="C7:C8"/>
    <mergeCell ref="F6:G6"/>
  </mergeCells>
  <printOptions horizontalCentered="1"/>
  <pageMargins left="0.70866141732283472" right="7.874015748031496E-2" top="0.31496062992125984" bottom="0" header="7.874015748031496E-2" footer="7.874015748031496E-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  <pageSetUpPr fitToPage="1"/>
  </sheetPr>
  <dimension ref="A1:V49"/>
  <sheetViews>
    <sheetView view="pageBreakPreview" topLeftCell="A37" zoomScaleSheetLayoutView="100" workbookViewId="0">
      <selection activeCell="H52" sqref="H52"/>
    </sheetView>
  </sheetViews>
  <sheetFormatPr defaultColWidth="9.140625" defaultRowHeight="15" x14ac:dyDescent="0.2"/>
  <cols>
    <col min="1" max="1" width="9.28515625" style="98" customWidth="1"/>
    <col min="2" max="3" width="8.5703125" style="98" customWidth="1"/>
    <col min="4" max="4" width="12" style="98" customWidth="1"/>
    <col min="5" max="5" width="8.5703125" style="98" customWidth="1"/>
    <col min="6" max="6" width="9.5703125" style="98" customWidth="1"/>
    <col min="7" max="7" width="8.5703125" style="98" customWidth="1"/>
    <col min="8" max="8" width="11.7109375" style="98" customWidth="1"/>
    <col min="9" max="15" width="8.5703125" style="98" customWidth="1"/>
    <col min="16" max="16" width="8.42578125" style="98" customWidth="1"/>
    <col min="17" max="19" width="8.5703125" style="98" customWidth="1"/>
    <col min="20" max="21" width="9.140625" style="98"/>
    <col min="22" max="22" width="13.140625" style="98" bestFit="1" customWidth="1"/>
    <col min="23" max="16384" width="9.140625" style="98"/>
  </cols>
  <sheetData>
    <row r="1" spans="1:19" x14ac:dyDescent="0.2">
      <c r="A1" s="98" t="s">
        <v>8</v>
      </c>
      <c r="H1" s="1098"/>
      <c r="I1" s="1098"/>
      <c r="R1" s="1099" t="s">
        <v>48</v>
      </c>
      <c r="S1" s="1099"/>
    </row>
    <row r="2" spans="1:19" x14ac:dyDescent="0.2">
      <c r="A2" s="1098" t="s">
        <v>0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8"/>
      <c r="R2" s="1098"/>
      <c r="S2" s="1098"/>
    </row>
    <row r="3" spans="1:19" ht="20.25" customHeight="1" x14ac:dyDescent="0.2">
      <c r="A3" s="1098" t="s">
        <v>793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</row>
    <row r="5" spans="1:19" x14ac:dyDescent="0.2">
      <c r="A5" s="1100" t="s">
        <v>794</v>
      </c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</row>
    <row r="6" spans="1:19" ht="16.5" customHeight="1" x14ac:dyDescent="0.2">
      <c r="A6" s="1101" t="s">
        <v>639</v>
      </c>
      <c r="B6" s="1101"/>
      <c r="C6" s="1101"/>
      <c r="D6" s="1101"/>
    </row>
    <row r="7" spans="1:19" x14ac:dyDescent="0.2">
      <c r="A7" s="1104" t="s">
        <v>153</v>
      </c>
      <c r="B7" s="1104"/>
      <c r="C7" s="1104"/>
      <c r="D7" s="1104"/>
      <c r="E7" s="1104"/>
      <c r="F7" s="1104"/>
      <c r="G7" s="1104"/>
      <c r="H7" s="1104"/>
      <c r="I7" s="1104"/>
      <c r="R7" s="99"/>
      <c r="S7" s="99"/>
    </row>
    <row r="9" spans="1:19" ht="18" customHeight="1" x14ac:dyDescent="0.2">
      <c r="A9" s="121"/>
      <c r="B9" s="1105" t="s">
        <v>35</v>
      </c>
      <c r="C9" s="1105"/>
      <c r="D9" s="1105" t="s">
        <v>36</v>
      </c>
      <c r="E9" s="1105"/>
      <c r="F9" s="1105" t="s">
        <v>37</v>
      </c>
      <c r="G9" s="1105"/>
      <c r="H9" s="1105" t="s">
        <v>38</v>
      </c>
      <c r="I9" s="1105"/>
      <c r="J9" s="1105" t="s">
        <v>39</v>
      </c>
      <c r="K9" s="1105"/>
      <c r="L9" s="1102" t="s">
        <v>13</v>
      </c>
      <c r="M9" s="1102"/>
    </row>
    <row r="10" spans="1:19" s="100" customFormat="1" ht="13.5" customHeight="1" x14ac:dyDescent="0.2">
      <c r="A10" s="127">
        <v>1</v>
      </c>
      <c r="B10" s="1103">
        <v>2</v>
      </c>
      <c r="C10" s="1103"/>
      <c r="D10" s="1103">
        <v>3</v>
      </c>
      <c r="E10" s="1103"/>
      <c r="F10" s="1103">
        <v>4</v>
      </c>
      <c r="G10" s="1103"/>
      <c r="H10" s="1103">
        <v>5</v>
      </c>
      <c r="I10" s="1103"/>
      <c r="J10" s="1103">
        <v>6</v>
      </c>
      <c r="K10" s="1103"/>
      <c r="L10" s="1103">
        <v>7</v>
      </c>
      <c r="M10" s="1103"/>
    </row>
    <row r="11" spans="1:19" ht="15.75" customHeight="1" x14ac:dyDescent="0.2">
      <c r="A11" s="121" t="s">
        <v>40</v>
      </c>
      <c r="B11" s="1106">
        <v>1643</v>
      </c>
      <c r="C11" s="1106"/>
      <c r="D11" s="1106">
        <v>1064</v>
      </c>
      <c r="E11" s="1106"/>
      <c r="F11" s="1106">
        <v>3817</v>
      </c>
      <c r="G11" s="1106"/>
      <c r="H11" s="1106">
        <v>452</v>
      </c>
      <c r="I11" s="1106"/>
      <c r="J11" s="1106">
        <v>1582</v>
      </c>
      <c r="K11" s="1106"/>
      <c r="L11" s="1106">
        <f>SUM(B11:K11)</f>
        <v>8558</v>
      </c>
      <c r="M11" s="1106"/>
    </row>
    <row r="12" spans="1:19" ht="15.75" customHeight="1" x14ac:dyDescent="0.2">
      <c r="A12" s="121" t="s">
        <v>41</v>
      </c>
      <c r="B12" s="1106">
        <v>15849</v>
      </c>
      <c r="C12" s="1106"/>
      <c r="D12" s="1106">
        <v>6371</v>
      </c>
      <c r="E12" s="1106"/>
      <c r="F12" s="1106">
        <v>38100</v>
      </c>
      <c r="G12" s="1106"/>
      <c r="H12" s="1106">
        <v>4030</v>
      </c>
      <c r="I12" s="1106"/>
      <c r="J12" s="1106">
        <v>15388</v>
      </c>
      <c r="K12" s="1106"/>
      <c r="L12" s="1106">
        <f>SUM(B12:K12)</f>
        <v>79738</v>
      </c>
      <c r="M12" s="1106"/>
    </row>
    <row r="13" spans="1:19" ht="16.5" x14ac:dyDescent="0.2">
      <c r="A13" s="121" t="s">
        <v>13</v>
      </c>
      <c r="B13" s="1110">
        <f>B11+B12</f>
        <v>17492</v>
      </c>
      <c r="C13" s="1111"/>
      <c r="D13" s="1110">
        <f>D11+D12</f>
        <v>7435</v>
      </c>
      <c r="E13" s="1111"/>
      <c r="F13" s="1110">
        <f t="shared" ref="F13" si="0">F11+F12</f>
        <v>41917</v>
      </c>
      <c r="G13" s="1111"/>
      <c r="H13" s="1110">
        <f t="shared" ref="H13" si="1">H11+H12</f>
        <v>4482</v>
      </c>
      <c r="I13" s="1111"/>
      <c r="J13" s="1110">
        <f t="shared" ref="J13:L13" si="2">J11+J12</f>
        <v>16970</v>
      </c>
      <c r="K13" s="1111"/>
      <c r="L13" s="1110">
        <f t="shared" si="2"/>
        <v>88296</v>
      </c>
      <c r="M13" s="1111"/>
    </row>
    <row r="14" spans="1:19" ht="16.5" customHeight="1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9" x14ac:dyDescent="0.2">
      <c r="A15" s="1107" t="s">
        <v>413</v>
      </c>
      <c r="B15" s="1107"/>
      <c r="C15" s="1107"/>
      <c r="D15" s="1107"/>
      <c r="E15" s="1107"/>
      <c r="F15" s="1107"/>
      <c r="G15" s="1107"/>
      <c r="H15" s="101"/>
      <c r="I15" s="101"/>
      <c r="J15" s="101"/>
      <c r="K15" s="101"/>
      <c r="L15" s="101"/>
      <c r="N15" s="1032"/>
    </row>
    <row r="16" spans="1:19" ht="19.5" customHeight="1" x14ac:dyDescent="0.2">
      <c r="A16" s="1108" t="s">
        <v>640</v>
      </c>
      <c r="B16" s="1109"/>
      <c r="C16" s="1105" t="s">
        <v>188</v>
      </c>
      <c r="D16" s="1105"/>
      <c r="E16" s="121" t="s">
        <v>13</v>
      </c>
      <c r="I16" s="101"/>
      <c r="J16" s="101"/>
      <c r="K16" s="101"/>
      <c r="L16" s="101"/>
      <c r="N16" s="381"/>
    </row>
    <row r="17" spans="1:22" x14ac:dyDescent="0.2">
      <c r="A17" s="1108">
        <v>600</v>
      </c>
      <c r="B17" s="1109"/>
      <c r="C17" s="1108">
        <v>400</v>
      </c>
      <c r="D17" s="1109"/>
      <c r="E17" s="121">
        <v>1000</v>
      </c>
      <c r="I17" s="101"/>
      <c r="J17" s="101"/>
      <c r="K17" s="101"/>
      <c r="L17" s="101"/>
    </row>
    <row r="18" spans="1:22" x14ac:dyDescent="0.2">
      <c r="A18" s="124"/>
      <c r="B18" s="124"/>
      <c r="C18" s="124"/>
      <c r="D18" s="124"/>
      <c r="E18" s="124"/>
      <c r="F18" s="124"/>
      <c r="G18" s="124"/>
      <c r="H18" s="101"/>
      <c r="I18" s="101"/>
      <c r="J18" s="101"/>
      <c r="K18" s="101"/>
      <c r="L18" s="101"/>
    </row>
    <row r="19" spans="1:22" ht="19.149999999999999" customHeight="1" x14ac:dyDescent="0.2">
      <c r="A19" s="1104" t="s">
        <v>154</v>
      </c>
      <c r="B19" s="1104"/>
      <c r="C19" s="1104"/>
      <c r="D19" s="1104"/>
      <c r="E19" s="1104"/>
      <c r="F19" s="1104"/>
      <c r="G19" s="1104"/>
      <c r="H19" s="1104"/>
      <c r="I19" s="1104"/>
      <c r="J19" s="1104"/>
      <c r="K19" s="1104"/>
      <c r="L19" s="1104"/>
      <c r="M19" s="1104"/>
      <c r="N19" s="1104"/>
      <c r="O19" s="1104"/>
      <c r="P19" s="1104"/>
      <c r="Q19" s="1104"/>
      <c r="R19" s="1104"/>
      <c r="S19" s="1104"/>
    </row>
    <row r="20" spans="1:22" x14ac:dyDescent="0.2">
      <c r="A20" s="1105" t="s">
        <v>17</v>
      </c>
      <c r="B20" s="1105" t="s">
        <v>42</v>
      </c>
      <c r="C20" s="1105"/>
      <c r="D20" s="1105"/>
      <c r="E20" s="1105" t="s">
        <v>18</v>
      </c>
      <c r="F20" s="1105"/>
      <c r="G20" s="1105"/>
      <c r="H20" s="1105"/>
      <c r="I20" s="1105"/>
      <c r="J20" s="1105"/>
      <c r="K20" s="1105"/>
      <c r="L20" s="1105"/>
      <c r="M20" s="1105" t="s">
        <v>19</v>
      </c>
      <c r="N20" s="1105"/>
      <c r="O20" s="1105"/>
      <c r="P20" s="1105"/>
      <c r="Q20" s="1105"/>
      <c r="R20" s="1105"/>
      <c r="S20" s="1105"/>
      <c r="T20" s="1105"/>
    </row>
    <row r="21" spans="1:22" ht="33.75" customHeight="1" x14ac:dyDescent="0.2">
      <c r="A21" s="1105"/>
      <c r="B21" s="1105"/>
      <c r="C21" s="1105"/>
      <c r="D21" s="1105"/>
      <c r="E21" s="1108" t="s">
        <v>121</v>
      </c>
      <c r="F21" s="1109"/>
      <c r="G21" s="1108" t="s">
        <v>155</v>
      </c>
      <c r="H21" s="1109"/>
      <c r="I21" s="1105" t="s">
        <v>43</v>
      </c>
      <c r="J21" s="1105"/>
      <c r="K21" s="1108" t="s">
        <v>85</v>
      </c>
      <c r="L21" s="1109"/>
      <c r="M21" s="1108" t="s">
        <v>86</v>
      </c>
      <c r="N21" s="1109"/>
      <c r="O21" s="1108" t="s">
        <v>155</v>
      </c>
      <c r="P21" s="1109"/>
      <c r="Q21" s="1105" t="s">
        <v>43</v>
      </c>
      <c r="R21" s="1105"/>
      <c r="S21" s="1105" t="s">
        <v>85</v>
      </c>
      <c r="T21" s="1105"/>
    </row>
    <row r="22" spans="1:22" s="100" customFormat="1" ht="15.75" customHeight="1" x14ac:dyDescent="0.2">
      <c r="A22" s="127">
        <v>1</v>
      </c>
      <c r="B22" s="1112">
        <v>2</v>
      </c>
      <c r="C22" s="1113"/>
      <c r="D22" s="1114"/>
      <c r="E22" s="1112">
        <v>3</v>
      </c>
      <c r="F22" s="1114"/>
      <c r="G22" s="1112">
        <v>4</v>
      </c>
      <c r="H22" s="1114"/>
      <c r="I22" s="1103">
        <v>5</v>
      </c>
      <c r="J22" s="1103"/>
      <c r="K22" s="1103">
        <v>6</v>
      </c>
      <c r="L22" s="1103"/>
      <c r="M22" s="1112">
        <v>3</v>
      </c>
      <c r="N22" s="1114"/>
      <c r="O22" s="1112">
        <v>4</v>
      </c>
      <c r="P22" s="1114"/>
      <c r="Q22" s="1103">
        <v>5</v>
      </c>
      <c r="R22" s="1103"/>
      <c r="S22" s="1103">
        <v>6</v>
      </c>
      <c r="T22" s="1103"/>
    </row>
    <row r="23" spans="1:22" ht="20.25" customHeight="1" x14ac:dyDescent="0.2">
      <c r="A23" s="121">
        <v>1</v>
      </c>
      <c r="B23" s="1115" t="s">
        <v>641</v>
      </c>
      <c r="C23" s="1116"/>
      <c r="D23" s="1117"/>
      <c r="E23" s="1118">
        <v>100</v>
      </c>
      <c r="F23" s="1119"/>
      <c r="G23" s="1118" t="s">
        <v>338</v>
      </c>
      <c r="H23" s="1120"/>
      <c r="I23" s="1121">
        <v>350</v>
      </c>
      <c r="J23" s="1121"/>
      <c r="K23" s="1121">
        <v>6</v>
      </c>
      <c r="L23" s="1121"/>
      <c r="M23" s="1118">
        <v>150</v>
      </c>
      <c r="N23" s="1119"/>
      <c r="O23" s="1118" t="s">
        <v>338</v>
      </c>
      <c r="P23" s="1119"/>
      <c r="Q23" s="1121">
        <v>510</v>
      </c>
      <c r="R23" s="1121"/>
      <c r="S23" s="1121">
        <v>12</v>
      </c>
      <c r="T23" s="1121"/>
    </row>
    <row r="24" spans="1:22" ht="16.5" x14ac:dyDescent="0.2">
      <c r="A24" s="121">
        <v>2</v>
      </c>
      <c r="B24" s="1115" t="s">
        <v>44</v>
      </c>
      <c r="C24" s="1116"/>
      <c r="D24" s="1117"/>
      <c r="E24" s="1118">
        <v>20</v>
      </c>
      <c r="F24" s="1119"/>
      <c r="G24" s="1118">
        <v>1.38</v>
      </c>
      <c r="H24" s="1120"/>
      <c r="I24" s="1121">
        <v>60</v>
      </c>
      <c r="J24" s="1121"/>
      <c r="K24" s="1121">
        <v>4</v>
      </c>
      <c r="L24" s="1121"/>
      <c r="M24" s="1118">
        <v>30</v>
      </c>
      <c r="N24" s="1119"/>
      <c r="O24" s="1122">
        <v>2.0699999999999998</v>
      </c>
      <c r="P24" s="1123"/>
      <c r="Q24" s="1121">
        <v>100</v>
      </c>
      <c r="R24" s="1121"/>
      <c r="S24" s="1121">
        <v>4</v>
      </c>
      <c r="T24" s="1121"/>
      <c r="V24" s="105"/>
    </row>
    <row r="25" spans="1:22" ht="16.5" x14ac:dyDescent="0.2">
      <c r="A25" s="121">
        <v>3</v>
      </c>
      <c r="B25" s="1115" t="s">
        <v>156</v>
      </c>
      <c r="C25" s="1116"/>
      <c r="D25" s="1117"/>
      <c r="E25" s="1118">
        <v>50</v>
      </c>
      <c r="F25" s="1119"/>
      <c r="G25" s="1118">
        <v>0.92</v>
      </c>
      <c r="H25" s="1120"/>
      <c r="I25" s="1121">
        <v>25</v>
      </c>
      <c r="J25" s="1121"/>
      <c r="K25" s="1121">
        <v>0</v>
      </c>
      <c r="L25" s="1121"/>
      <c r="M25" s="1118">
        <v>75</v>
      </c>
      <c r="N25" s="1119"/>
      <c r="O25" s="1122">
        <v>1.38</v>
      </c>
      <c r="P25" s="1123"/>
      <c r="Q25" s="1121">
        <v>30</v>
      </c>
      <c r="R25" s="1121"/>
      <c r="S25" s="1121">
        <v>0</v>
      </c>
      <c r="T25" s="1121"/>
      <c r="V25" s="105"/>
    </row>
    <row r="26" spans="1:22" ht="16.5" x14ac:dyDescent="0.2">
      <c r="A26" s="121">
        <v>4</v>
      </c>
      <c r="B26" s="1115" t="s">
        <v>45</v>
      </c>
      <c r="C26" s="1116"/>
      <c r="D26" s="1117"/>
      <c r="E26" s="1118">
        <v>5</v>
      </c>
      <c r="F26" s="1119"/>
      <c r="G26" s="1118">
        <v>0.57999999999999996</v>
      </c>
      <c r="H26" s="1120"/>
      <c r="I26" s="1121">
        <v>35</v>
      </c>
      <c r="J26" s="1121"/>
      <c r="K26" s="1121">
        <v>2</v>
      </c>
      <c r="L26" s="1121"/>
      <c r="M26" s="1118">
        <v>7.5</v>
      </c>
      <c r="N26" s="1119"/>
      <c r="O26" s="1122">
        <v>0.87</v>
      </c>
      <c r="P26" s="1123"/>
      <c r="Q26" s="1121">
        <v>55</v>
      </c>
      <c r="R26" s="1121"/>
      <c r="S26" s="1121">
        <v>4</v>
      </c>
      <c r="T26" s="1121"/>
      <c r="V26" s="105"/>
    </row>
    <row r="27" spans="1:22" ht="16.5" x14ac:dyDescent="0.2">
      <c r="A27" s="121">
        <v>5</v>
      </c>
      <c r="B27" s="1115" t="s">
        <v>46</v>
      </c>
      <c r="C27" s="1116"/>
      <c r="D27" s="1117"/>
      <c r="E27" s="1118" t="s">
        <v>642</v>
      </c>
      <c r="F27" s="1119"/>
      <c r="G27" s="1118">
        <v>0.56999999999999995</v>
      </c>
      <c r="H27" s="1120"/>
      <c r="I27" s="1121">
        <v>0</v>
      </c>
      <c r="J27" s="1121"/>
      <c r="K27" s="1121">
        <v>0</v>
      </c>
      <c r="L27" s="1121"/>
      <c r="M27" s="1124" t="s">
        <v>642</v>
      </c>
      <c r="N27" s="1125"/>
      <c r="O27" s="1122">
        <v>0.9</v>
      </c>
      <c r="P27" s="1123"/>
      <c r="Q27" s="1121">
        <v>0</v>
      </c>
      <c r="R27" s="1121"/>
      <c r="S27" s="1121">
        <v>0</v>
      </c>
      <c r="T27" s="1121"/>
      <c r="V27" s="105"/>
    </row>
    <row r="28" spans="1:22" ht="16.5" x14ac:dyDescent="0.2">
      <c r="A28" s="121">
        <v>6</v>
      </c>
      <c r="B28" s="1115" t="s">
        <v>47</v>
      </c>
      <c r="C28" s="1116"/>
      <c r="D28" s="1117"/>
      <c r="E28" s="1118" t="s">
        <v>642</v>
      </c>
      <c r="F28" s="1119"/>
      <c r="G28" s="1118">
        <v>0.68</v>
      </c>
      <c r="H28" s="1120"/>
      <c r="I28" s="1121">
        <v>0</v>
      </c>
      <c r="J28" s="1121"/>
      <c r="K28" s="1121">
        <v>0</v>
      </c>
      <c r="L28" s="1121"/>
      <c r="M28" s="1118" t="s">
        <v>642</v>
      </c>
      <c r="N28" s="1119"/>
      <c r="O28" s="1122">
        <v>0.96</v>
      </c>
      <c r="P28" s="1123"/>
      <c r="Q28" s="1121">
        <v>0</v>
      </c>
      <c r="R28" s="1121"/>
      <c r="S28" s="1121">
        <v>0</v>
      </c>
      <c r="T28" s="1121"/>
      <c r="V28" s="105"/>
    </row>
    <row r="29" spans="1:22" ht="16.5" customHeight="1" x14ac:dyDescent="0.2">
      <c r="A29" s="121">
        <v>7</v>
      </c>
      <c r="B29" s="1115" t="s">
        <v>795</v>
      </c>
      <c r="C29" s="1116"/>
      <c r="D29" s="1117"/>
      <c r="E29" s="1118" t="s">
        <v>643</v>
      </c>
      <c r="F29" s="1119"/>
      <c r="G29" s="1122">
        <v>2.35</v>
      </c>
      <c r="H29" s="1120"/>
      <c r="I29" s="1118">
        <v>160</v>
      </c>
      <c r="J29" s="1119"/>
      <c r="K29" s="1118">
        <v>12</v>
      </c>
      <c r="L29" s="1119"/>
      <c r="M29" s="1118" t="s">
        <v>685</v>
      </c>
      <c r="N29" s="1119"/>
      <c r="O29" s="1122">
        <v>2.35</v>
      </c>
      <c r="P29" s="1123"/>
      <c r="Q29" s="1118">
        <v>160</v>
      </c>
      <c r="R29" s="1119"/>
      <c r="S29" s="1118">
        <v>12</v>
      </c>
      <c r="T29" s="1119"/>
      <c r="V29" s="105"/>
    </row>
    <row r="30" spans="1:22" x14ac:dyDescent="0.2">
      <c r="A30" s="121"/>
      <c r="B30" s="1105" t="s">
        <v>13</v>
      </c>
      <c r="C30" s="1105"/>
      <c r="D30" s="1105"/>
      <c r="E30" s="1105"/>
      <c r="F30" s="1105"/>
      <c r="G30" s="1108">
        <f>SUM(G24:H29)</f>
        <v>6.48</v>
      </c>
      <c r="H30" s="1109"/>
      <c r="I30" s="1105">
        <f>SUM(I23:J29)</f>
        <v>630</v>
      </c>
      <c r="J30" s="1105"/>
      <c r="K30" s="1105">
        <f>SUM(K23:L29)</f>
        <v>24</v>
      </c>
      <c r="L30" s="1105"/>
      <c r="M30" s="1105"/>
      <c r="N30" s="1105"/>
      <c r="O30" s="1108">
        <f>SUM(O24:P29)</f>
        <v>8.5299999999999994</v>
      </c>
      <c r="P30" s="1109"/>
      <c r="Q30" s="1105">
        <f>SUM(Q23:R29)</f>
        <v>855</v>
      </c>
      <c r="R30" s="1105"/>
      <c r="S30" s="1105">
        <f>SUM(S23:T29)</f>
        <v>32</v>
      </c>
      <c r="T30" s="1105"/>
    </row>
    <row r="31" spans="1:22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2" ht="12.75" customHeight="1" x14ac:dyDescent="0.2">
      <c r="A32" s="102" t="s">
        <v>392</v>
      </c>
      <c r="B32" s="1107" t="s">
        <v>446</v>
      </c>
      <c r="C32" s="1107"/>
      <c r="D32" s="1107"/>
      <c r="E32" s="1107"/>
      <c r="F32" s="1107"/>
      <c r="G32" s="1107"/>
      <c r="H32" s="1107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x14ac:dyDescent="0.2">
      <c r="A33" s="10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99" customFormat="1" ht="17.25" customHeight="1" x14ac:dyDescent="0.2">
      <c r="A34" s="121" t="s">
        <v>17</v>
      </c>
      <c r="B34" s="1105" t="s">
        <v>393</v>
      </c>
      <c r="C34" s="1105"/>
      <c r="D34" s="1105"/>
      <c r="E34" s="1105" t="s">
        <v>18</v>
      </c>
      <c r="F34" s="1105"/>
      <c r="G34" s="1105"/>
      <c r="H34" s="1105"/>
      <c r="I34" s="1105"/>
      <c r="J34" s="1105"/>
      <c r="K34" s="1105" t="s">
        <v>19</v>
      </c>
      <c r="L34" s="1105"/>
      <c r="M34" s="1105"/>
      <c r="N34" s="1105"/>
      <c r="O34" s="1105"/>
      <c r="P34" s="1105"/>
      <c r="Q34" s="1126"/>
      <c r="R34" s="1126"/>
      <c r="S34" s="1126"/>
      <c r="T34" s="1126"/>
    </row>
    <row r="35" spans="1:20" x14ac:dyDescent="0.2">
      <c r="A35" s="121"/>
      <c r="B35" s="1105"/>
      <c r="C35" s="1105"/>
      <c r="D35" s="1105"/>
      <c r="E35" s="1105" t="s">
        <v>410</v>
      </c>
      <c r="F35" s="1105"/>
      <c r="G35" s="1105" t="s">
        <v>411</v>
      </c>
      <c r="H35" s="1105"/>
      <c r="I35" s="1105" t="s">
        <v>412</v>
      </c>
      <c r="J35" s="1105"/>
      <c r="K35" s="1105" t="s">
        <v>410</v>
      </c>
      <c r="L35" s="1105"/>
      <c r="M35" s="1105" t="s">
        <v>411</v>
      </c>
      <c r="N35" s="1105"/>
      <c r="O35" s="1105" t="s">
        <v>412</v>
      </c>
      <c r="P35" s="1105"/>
      <c r="Q35" s="101"/>
      <c r="R35" s="101"/>
      <c r="S35" s="101"/>
      <c r="T35" s="103"/>
    </row>
    <row r="36" spans="1:20" ht="27" customHeight="1" x14ac:dyDescent="0.2">
      <c r="A36" s="121">
        <v>1</v>
      </c>
      <c r="B36" s="1121" t="s">
        <v>644</v>
      </c>
      <c r="C36" s="1121"/>
      <c r="D36" s="1121"/>
      <c r="E36" s="1105">
        <v>1</v>
      </c>
      <c r="F36" s="1105"/>
      <c r="G36" s="1127">
        <v>4.68</v>
      </c>
      <c r="H36" s="1127"/>
      <c r="I36" s="1121" t="s">
        <v>685</v>
      </c>
      <c r="J36" s="1121"/>
      <c r="K36" s="1105">
        <v>1</v>
      </c>
      <c r="L36" s="1105"/>
      <c r="M36" s="1127">
        <v>4.68</v>
      </c>
      <c r="N36" s="1127"/>
      <c r="O36" s="1121" t="s">
        <v>685</v>
      </c>
      <c r="P36" s="1121"/>
      <c r="Q36" s="101"/>
      <c r="R36" s="101"/>
      <c r="S36" s="101"/>
      <c r="T36" s="103"/>
    </row>
    <row r="38" spans="1:20" ht="13.9" customHeight="1" x14ac:dyDescent="0.2">
      <c r="A38" s="1107" t="s">
        <v>645</v>
      </c>
      <c r="B38" s="1107"/>
      <c r="C38" s="1107"/>
      <c r="D38" s="1107"/>
      <c r="E38" s="1107"/>
      <c r="F38" s="1107"/>
      <c r="G38" s="1107"/>
      <c r="H38" s="1107"/>
      <c r="I38" s="1107"/>
    </row>
    <row r="39" spans="1:20" ht="13.9" customHeight="1" x14ac:dyDescent="0.2">
      <c r="A39" s="1105" t="s">
        <v>50</v>
      </c>
      <c r="B39" s="1105" t="s">
        <v>18</v>
      </c>
      <c r="C39" s="1105"/>
      <c r="D39" s="1105"/>
      <c r="E39" s="1105" t="s">
        <v>19</v>
      </c>
      <c r="F39" s="1105"/>
      <c r="G39" s="1105"/>
      <c r="H39" s="1128" t="s">
        <v>134</v>
      </c>
      <c r="I39" s="104"/>
    </row>
    <row r="40" spans="1:20" ht="16.5" x14ac:dyDescent="0.2">
      <c r="A40" s="1105"/>
      <c r="B40" s="121" t="s">
        <v>157</v>
      </c>
      <c r="C40" s="121" t="s">
        <v>92</v>
      </c>
      <c r="D40" s="121" t="s">
        <v>13</v>
      </c>
      <c r="E40" s="121" t="s">
        <v>157</v>
      </c>
      <c r="F40" s="121" t="s">
        <v>92</v>
      </c>
      <c r="G40" s="121" t="s">
        <v>13</v>
      </c>
      <c r="H40" s="1129"/>
      <c r="I40" s="104"/>
    </row>
    <row r="41" spans="1:20" ht="28.5" x14ac:dyDescent="0.2">
      <c r="A41" s="97" t="s">
        <v>494</v>
      </c>
      <c r="B41" s="796">
        <v>2.48</v>
      </c>
      <c r="C41" s="796">
        <v>2.65</v>
      </c>
      <c r="D41" s="796">
        <v>5.13</v>
      </c>
      <c r="E41" s="796">
        <v>3.71</v>
      </c>
      <c r="F41" s="796">
        <v>3.47</v>
      </c>
      <c r="G41" s="796">
        <v>7.18</v>
      </c>
      <c r="H41" s="717" t="s">
        <v>796</v>
      </c>
      <c r="I41" s="104"/>
    </row>
    <row r="42" spans="1:20" ht="28.5" x14ac:dyDescent="0.2">
      <c r="A42" s="97" t="s">
        <v>494</v>
      </c>
      <c r="B42" s="796">
        <v>2.48</v>
      </c>
      <c r="C42" s="796">
        <v>4</v>
      </c>
      <c r="D42" s="796">
        <v>6.48</v>
      </c>
      <c r="E42" s="796">
        <v>3.71</v>
      </c>
      <c r="F42" s="796">
        <v>4.82</v>
      </c>
      <c r="G42" s="796">
        <v>8.5300000000000011</v>
      </c>
      <c r="H42" s="717" t="s">
        <v>1007</v>
      </c>
      <c r="I42" s="104"/>
      <c r="N42" s="98" t="s">
        <v>8</v>
      </c>
    </row>
    <row r="43" spans="1:20" ht="33" x14ac:dyDescent="0.2">
      <c r="A43" s="97" t="s">
        <v>918</v>
      </c>
      <c r="B43" s="796">
        <v>2.48</v>
      </c>
      <c r="C43" s="796">
        <v>4</v>
      </c>
      <c r="D43" s="796">
        <v>6.48</v>
      </c>
      <c r="E43" s="796">
        <v>3.71</v>
      </c>
      <c r="F43" s="796">
        <v>4.82</v>
      </c>
      <c r="G43" s="796">
        <v>8.5300000000000011</v>
      </c>
      <c r="H43" s="1002" t="s">
        <v>969</v>
      </c>
      <c r="I43" s="104"/>
    </row>
    <row r="44" spans="1:20" ht="16.5" x14ac:dyDescent="0.2">
      <c r="A44" s="1130"/>
      <c r="B44" s="1130"/>
      <c r="C44" s="1130"/>
      <c r="D44" s="1130"/>
      <c r="E44" s="1130"/>
      <c r="F44" s="1130"/>
      <c r="G44" s="1130"/>
      <c r="H44" s="1130"/>
      <c r="I44" s="1130"/>
      <c r="J44" s="1130"/>
      <c r="K44" s="1130"/>
      <c r="L44" s="1130"/>
      <c r="M44" s="1130"/>
      <c r="N44" s="1130"/>
      <c r="O44" s="1130"/>
      <c r="P44" s="1130"/>
      <c r="Q44" s="1130"/>
      <c r="R44" s="1130"/>
      <c r="S44" s="1130"/>
      <c r="T44" s="1130"/>
    </row>
    <row r="45" spans="1:20" ht="16.5" x14ac:dyDescent="0.2">
      <c r="A45" s="106"/>
      <c r="B45" s="124"/>
      <c r="C45" s="124"/>
      <c r="D45" s="106"/>
      <c r="E45" s="106"/>
      <c r="F45" s="126"/>
      <c r="G45" s="126"/>
      <c r="H45" s="126"/>
      <c r="I45" s="104"/>
    </row>
    <row r="47" spans="1:20" s="104" customFormat="1" ht="60.75" customHeight="1" x14ac:dyDescent="0.2">
      <c r="A47" s="1104" t="s">
        <v>9</v>
      </c>
      <c r="B47" s="1104"/>
      <c r="C47" s="1104"/>
      <c r="D47" s="1104"/>
      <c r="E47" s="1100"/>
      <c r="F47" s="1100"/>
      <c r="G47" s="1100"/>
      <c r="I47" s="98"/>
      <c r="M47" s="1104" t="s">
        <v>646</v>
      </c>
      <c r="N47" s="1104"/>
      <c r="O47" s="1104"/>
      <c r="P47" s="1104"/>
      <c r="Q47" s="1104"/>
    </row>
    <row r="49" spans="5:5" x14ac:dyDescent="0.2">
      <c r="E49" s="98" t="s">
        <v>8</v>
      </c>
    </row>
  </sheetData>
  <mergeCells count="164">
    <mergeCell ref="M47:Q47"/>
    <mergeCell ref="A47:D47"/>
    <mergeCell ref="A38:I38"/>
    <mergeCell ref="A39:A40"/>
    <mergeCell ref="B39:D39"/>
    <mergeCell ref="E39:G39"/>
    <mergeCell ref="H39:H40"/>
    <mergeCell ref="A44:T44"/>
    <mergeCell ref="E47:G47"/>
    <mergeCell ref="E35:F35"/>
    <mergeCell ref="G35:H35"/>
    <mergeCell ref="Q30:R30"/>
    <mergeCell ref="S30:T30"/>
    <mergeCell ref="B36:D36"/>
    <mergeCell ref="E36:F36"/>
    <mergeCell ref="G36:H36"/>
    <mergeCell ref="I36:J36"/>
    <mergeCell ref="K36:L36"/>
    <mergeCell ref="M36:N36"/>
    <mergeCell ref="O36:P36"/>
    <mergeCell ref="I35:J35"/>
    <mergeCell ref="K35:L35"/>
    <mergeCell ref="M35:N35"/>
    <mergeCell ref="O35:P35"/>
    <mergeCell ref="G30:H30"/>
    <mergeCell ref="O30:P30"/>
    <mergeCell ref="B30:D30"/>
    <mergeCell ref="E30:F30"/>
    <mergeCell ref="I30:J30"/>
    <mergeCell ref="K30:L30"/>
    <mergeCell ref="M30:N30"/>
    <mergeCell ref="B32:H32"/>
    <mergeCell ref="B34:D35"/>
    <mergeCell ref="E34:J34"/>
    <mergeCell ref="K34:P34"/>
    <mergeCell ref="O28:P28"/>
    <mergeCell ref="Q28:R28"/>
    <mergeCell ref="S28:T28"/>
    <mergeCell ref="B28:D28"/>
    <mergeCell ref="E28:F28"/>
    <mergeCell ref="G28:H28"/>
    <mergeCell ref="I28:J28"/>
    <mergeCell ref="K28:L28"/>
    <mergeCell ref="M28:N28"/>
    <mergeCell ref="S29:T29"/>
    <mergeCell ref="Q29:R29"/>
    <mergeCell ref="O29:P29"/>
    <mergeCell ref="M29:N29"/>
    <mergeCell ref="K29:L29"/>
    <mergeCell ref="I29:J29"/>
    <mergeCell ref="G29:H29"/>
    <mergeCell ref="E29:F29"/>
    <mergeCell ref="B29:D29"/>
    <mergeCell ref="Q34:R34"/>
    <mergeCell ref="S34:T34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O24:P24"/>
    <mergeCell ref="Q24:R24"/>
    <mergeCell ref="S24:T24"/>
    <mergeCell ref="B25:D25"/>
    <mergeCell ref="E25:F25"/>
    <mergeCell ref="G25:H25"/>
    <mergeCell ref="I25:J25"/>
    <mergeCell ref="K25:L25"/>
    <mergeCell ref="M25:N25"/>
    <mergeCell ref="O25:P25"/>
    <mergeCell ref="B24:D24"/>
    <mergeCell ref="E24:F24"/>
    <mergeCell ref="G24:H24"/>
    <mergeCell ref="I24:J24"/>
    <mergeCell ref="K24:L24"/>
    <mergeCell ref="M24:N24"/>
    <mergeCell ref="Q25:R25"/>
    <mergeCell ref="S25:T25"/>
    <mergeCell ref="B23:D23"/>
    <mergeCell ref="E23:F23"/>
    <mergeCell ref="G23:H23"/>
    <mergeCell ref="I23:J23"/>
    <mergeCell ref="K23:L23"/>
    <mergeCell ref="M23:N23"/>
    <mergeCell ref="O23:P23"/>
    <mergeCell ref="Q23:R23"/>
    <mergeCell ref="S23:T23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A20:A21"/>
    <mergeCell ref="B20:D21"/>
    <mergeCell ref="E20:L20"/>
    <mergeCell ref="M20:T20"/>
    <mergeCell ref="E21:F21"/>
    <mergeCell ref="G21:H21"/>
    <mergeCell ref="I21:J21"/>
    <mergeCell ref="K21:L21"/>
    <mergeCell ref="M21:N21"/>
    <mergeCell ref="O21:P21"/>
    <mergeCell ref="Q21:R21"/>
    <mergeCell ref="S21:T21"/>
    <mergeCell ref="A15:G15"/>
    <mergeCell ref="A16:B16"/>
    <mergeCell ref="C16:D16"/>
    <mergeCell ref="A17:B17"/>
    <mergeCell ref="C17:D17"/>
    <mergeCell ref="A19:S19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H1:I1"/>
    <mergeCell ref="R1:S1"/>
    <mergeCell ref="A2:S2"/>
    <mergeCell ref="A3:S3"/>
    <mergeCell ref="A5:S5"/>
    <mergeCell ref="A6:D6"/>
    <mergeCell ref="L9:M9"/>
    <mergeCell ref="B10:C10"/>
    <mergeCell ref="D10:E10"/>
    <mergeCell ref="F10:G10"/>
    <mergeCell ref="H10:I10"/>
    <mergeCell ref="J10:K10"/>
    <mergeCell ref="L10:M10"/>
    <mergeCell ref="A7:I7"/>
    <mergeCell ref="B9:C9"/>
    <mergeCell ref="D9:E9"/>
    <mergeCell ref="F9:G9"/>
    <mergeCell ref="H9:I9"/>
    <mergeCell ref="J9:K9"/>
  </mergeCells>
  <printOptions horizontalCentered="1"/>
  <pageMargins left="0.70866141732283505" right="0.70866141732283505" top="0.5" bottom="0" header="0.31496062992126" footer="0.31496062992126"/>
  <pageSetup paperSize="9" scale="65" orientation="landscape" r:id="rId1"/>
  <headerFooter>
    <oddFooter>&amp;CSheet-58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5" tint="0.59999389629810485"/>
  </sheetPr>
  <dimension ref="A1:N25"/>
  <sheetViews>
    <sheetView view="pageBreakPreview" topLeftCell="A6" zoomScale="90" zoomScaleSheetLayoutView="90" workbookViewId="0">
      <selection activeCell="O6" sqref="O1:R1048576"/>
    </sheetView>
  </sheetViews>
  <sheetFormatPr defaultColWidth="9.140625" defaultRowHeight="12.75" x14ac:dyDescent="0.2"/>
  <cols>
    <col min="1" max="1" width="9.140625" style="87"/>
    <col min="2" max="2" width="15.7109375" style="87" customWidth="1"/>
    <col min="3" max="3" width="16.7109375" style="87" customWidth="1"/>
    <col min="4" max="4" width="9.42578125" style="87" customWidth="1"/>
    <col min="5" max="5" width="9" style="87" customWidth="1"/>
    <col min="6" max="6" width="11.5703125" style="87" customWidth="1"/>
    <col min="7" max="10" width="10.42578125" style="87" customWidth="1"/>
    <col min="11" max="11" width="9.28515625" style="87" customWidth="1"/>
    <col min="12" max="12" width="10.42578125" style="87" customWidth="1"/>
    <col min="13" max="13" width="11.5703125" style="87" customWidth="1"/>
    <col min="14" max="14" width="10.5703125" style="87" customWidth="1"/>
    <col min="15" max="16384" width="9.140625" style="87"/>
  </cols>
  <sheetData>
    <row r="1" spans="1:14" ht="18" x14ac:dyDescent="0.35">
      <c r="A1" s="1193" t="s">
        <v>0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M1" s="1479" t="s">
        <v>503</v>
      </c>
      <c r="N1" s="1479"/>
    </row>
    <row r="2" spans="1:14" ht="21" x14ac:dyDescent="0.35">
      <c r="A2" s="1194" t="s">
        <v>793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</row>
    <row r="3" spans="1:14" ht="15" x14ac:dyDescent="0.3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4" ht="18" x14ac:dyDescent="0.35">
      <c r="A4" s="1193" t="s">
        <v>502</v>
      </c>
      <c r="B4" s="1193"/>
      <c r="C4" s="1193"/>
      <c r="D4" s="1193"/>
      <c r="E4" s="1193"/>
      <c r="F4" s="1193"/>
      <c r="G4" s="1193"/>
      <c r="H4" s="1193"/>
      <c r="I4" s="373"/>
      <c r="J4" s="373"/>
    </row>
    <row r="5" spans="1:14" ht="15" x14ac:dyDescent="0.3">
      <c r="A5" s="375" t="s">
        <v>687</v>
      </c>
      <c r="B5" s="375"/>
      <c r="C5" s="375"/>
      <c r="D5" s="375"/>
      <c r="E5" s="375"/>
      <c r="F5" s="375"/>
      <c r="G5" s="375"/>
      <c r="H5" s="86"/>
      <c r="I5" s="86"/>
      <c r="J5" s="86"/>
      <c r="L5" s="78" t="s">
        <v>924</v>
      </c>
    </row>
    <row r="6" spans="1:14" s="385" customFormat="1" ht="28.5" customHeight="1" x14ac:dyDescent="0.2">
      <c r="A6" s="1483" t="s">
        <v>2</v>
      </c>
      <c r="B6" s="1483" t="s">
        <v>30</v>
      </c>
      <c r="C6" s="1482" t="s">
        <v>385</v>
      </c>
      <c r="D6" s="1480" t="s">
        <v>434</v>
      </c>
      <c r="E6" s="1480"/>
      <c r="F6" s="1480"/>
      <c r="G6" s="1480"/>
      <c r="H6" s="1481"/>
      <c r="I6" s="1482" t="s">
        <v>540</v>
      </c>
      <c r="J6" s="1482" t="s">
        <v>541</v>
      </c>
      <c r="K6" s="1485" t="s">
        <v>479</v>
      </c>
      <c r="L6" s="1485"/>
      <c r="M6" s="1485"/>
      <c r="N6" s="1485"/>
    </row>
    <row r="7" spans="1:14" s="385" customFormat="1" ht="39" customHeight="1" x14ac:dyDescent="0.2">
      <c r="A7" s="1484"/>
      <c r="B7" s="1484"/>
      <c r="C7" s="1482"/>
      <c r="D7" s="525" t="s">
        <v>433</v>
      </c>
      <c r="E7" s="525" t="s">
        <v>386</v>
      </c>
      <c r="F7" s="544" t="s">
        <v>387</v>
      </c>
      <c r="G7" s="525" t="s">
        <v>388</v>
      </c>
      <c r="H7" s="525" t="s">
        <v>39</v>
      </c>
      <c r="I7" s="1482"/>
      <c r="J7" s="1482"/>
      <c r="K7" s="545" t="s">
        <v>389</v>
      </c>
      <c r="L7" s="525" t="s">
        <v>480</v>
      </c>
      <c r="M7" s="525" t="s">
        <v>390</v>
      </c>
      <c r="N7" s="525" t="s">
        <v>391</v>
      </c>
    </row>
    <row r="8" spans="1:14" ht="15" x14ac:dyDescent="0.2">
      <c r="A8" s="377" t="s">
        <v>248</v>
      </c>
      <c r="B8" s="377" t="s">
        <v>249</v>
      </c>
      <c r="C8" s="377" t="s">
        <v>250</v>
      </c>
      <c r="D8" s="377" t="s">
        <v>251</v>
      </c>
      <c r="E8" s="377" t="s">
        <v>252</v>
      </c>
      <c r="F8" s="377" t="s">
        <v>253</v>
      </c>
      <c r="G8" s="377" t="s">
        <v>254</v>
      </c>
      <c r="H8" s="377" t="s">
        <v>255</v>
      </c>
      <c r="I8" s="377" t="s">
        <v>276</v>
      </c>
      <c r="J8" s="377" t="s">
        <v>277</v>
      </c>
      <c r="K8" s="377" t="s">
        <v>278</v>
      </c>
      <c r="L8" s="377" t="s">
        <v>306</v>
      </c>
      <c r="M8" s="377" t="s">
        <v>307</v>
      </c>
      <c r="N8" s="377" t="s">
        <v>308</v>
      </c>
    </row>
    <row r="9" spans="1:14" s="369" customFormat="1" ht="24" customHeight="1" x14ac:dyDescent="0.2">
      <c r="A9" s="546">
        <v>1</v>
      </c>
      <c r="B9" s="863" t="s">
        <v>703</v>
      </c>
      <c r="C9" s="978">
        <f>'AT-3'!G9</f>
        <v>3154</v>
      </c>
      <c r="D9" s="865">
        <v>160</v>
      </c>
      <c r="E9" s="865">
        <v>725</v>
      </c>
      <c r="F9" s="865">
        <v>2001</v>
      </c>
      <c r="G9" s="865">
        <v>82</v>
      </c>
      <c r="H9" s="865">
        <f>C9-(D9+E9+F9+G9)</f>
        <v>186</v>
      </c>
      <c r="I9" s="865">
        <v>1509</v>
      </c>
      <c r="J9" s="865">
        <f>C9</f>
        <v>3154</v>
      </c>
      <c r="K9" s="865">
        <v>3154</v>
      </c>
      <c r="L9" s="865">
        <v>853</v>
      </c>
      <c r="M9" s="865">
        <v>514</v>
      </c>
      <c r="N9" s="865">
        <v>2321</v>
      </c>
    </row>
    <row r="10" spans="1:14" s="369" customFormat="1" ht="24" customHeight="1" x14ac:dyDescent="0.2">
      <c r="A10" s="546">
        <v>2</v>
      </c>
      <c r="B10" s="863" t="s">
        <v>704</v>
      </c>
      <c r="C10" s="978">
        <f>'AT-3'!G10</f>
        <v>2701</v>
      </c>
      <c r="D10" s="865">
        <v>115</v>
      </c>
      <c r="E10" s="865">
        <v>861</v>
      </c>
      <c r="F10" s="865">
        <v>1725</v>
      </c>
      <c r="G10" s="865">
        <v>0</v>
      </c>
      <c r="H10" s="865">
        <f t="shared" ref="H10:H21" si="0">C10-(D10+E10+F10+G10)</f>
        <v>0</v>
      </c>
      <c r="I10" s="865">
        <v>2263</v>
      </c>
      <c r="J10" s="865">
        <f t="shared" ref="J10:J21" si="1">C10</f>
        <v>2701</v>
      </c>
      <c r="K10" s="865">
        <v>2535</v>
      </c>
      <c r="L10" s="865">
        <v>1499</v>
      </c>
      <c r="M10" s="865">
        <v>595</v>
      </c>
      <c r="N10" s="865">
        <v>2701</v>
      </c>
    </row>
    <row r="11" spans="1:14" s="369" customFormat="1" ht="24" customHeight="1" x14ac:dyDescent="0.2">
      <c r="A11" s="546">
        <v>3</v>
      </c>
      <c r="B11" s="863" t="s">
        <v>705</v>
      </c>
      <c r="C11" s="978">
        <f>'AT-3'!G11</f>
        <v>3863</v>
      </c>
      <c r="D11" s="865">
        <v>162</v>
      </c>
      <c r="E11" s="865">
        <v>1116</v>
      </c>
      <c r="F11" s="865">
        <v>1695</v>
      </c>
      <c r="G11" s="865">
        <v>168</v>
      </c>
      <c r="H11" s="865">
        <f t="shared" si="0"/>
        <v>722</v>
      </c>
      <c r="I11" s="865">
        <v>2469</v>
      </c>
      <c r="J11" s="865">
        <f t="shared" si="1"/>
        <v>3863</v>
      </c>
      <c r="K11" s="535">
        <v>3625</v>
      </c>
      <c r="L11" s="535">
        <v>1949</v>
      </c>
      <c r="M11" s="535">
        <v>1741</v>
      </c>
      <c r="N11" s="535">
        <v>3655</v>
      </c>
    </row>
    <row r="12" spans="1:14" s="369" customFormat="1" ht="24" customHeight="1" x14ac:dyDescent="0.2">
      <c r="A12" s="546">
        <v>4</v>
      </c>
      <c r="B12" s="863" t="s">
        <v>706</v>
      </c>
      <c r="C12" s="978">
        <f>'AT-3'!G12</f>
        <v>4264</v>
      </c>
      <c r="D12" s="865">
        <v>586</v>
      </c>
      <c r="E12" s="865">
        <v>1694</v>
      </c>
      <c r="F12" s="865">
        <v>1632</v>
      </c>
      <c r="G12" s="865">
        <v>37</v>
      </c>
      <c r="H12" s="865">
        <f t="shared" si="0"/>
        <v>315</v>
      </c>
      <c r="I12" s="535">
        <v>4264</v>
      </c>
      <c r="J12" s="865">
        <f t="shared" si="1"/>
        <v>4264</v>
      </c>
      <c r="K12" s="535">
        <v>4227</v>
      </c>
      <c r="L12" s="535">
        <v>4051</v>
      </c>
      <c r="M12" s="535">
        <v>2294</v>
      </c>
      <c r="N12" s="535">
        <v>3521</v>
      </c>
    </row>
    <row r="13" spans="1:14" s="369" customFormat="1" ht="24" customHeight="1" x14ac:dyDescent="0.2">
      <c r="A13" s="546">
        <v>5</v>
      </c>
      <c r="B13" s="863" t="s">
        <v>707</v>
      </c>
      <c r="C13" s="978">
        <f>'AT-3'!G13</f>
        <v>3242</v>
      </c>
      <c r="D13" s="865">
        <v>1759</v>
      </c>
      <c r="E13" s="865">
        <v>1483</v>
      </c>
      <c r="F13" s="865">
        <v>0</v>
      </c>
      <c r="G13" s="865">
        <v>0</v>
      </c>
      <c r="H13" s="865">
        <f t="shared" si="0"/>
        <v>0</v>
      </c>
      <c r="I13" s="865">
        <v>3242</v>
      </c>
      <c r="J13" s="865">
        <f t="shared" si="1"/>
        <v>3242</v>
      </c>
      <c r="K13" s="865">
        <v>3242</v>
      </c>
      <c r="L13" s="865">
        <v>1124</v>
      </c>
      <c r="M13" s="865">
        <v>1842</v>
      </c>
      <c r="N13" s="865">
        <v>6275</v>
      </c>
    </row>
    <row r="14" spans="1:14" s="369" customFormat="1" ht="24" customHeight="1" x14ac:dyDescent="0.2">
      <c r="A14" s="546">
        <v>6</v>
      </c>
      <c r="B14" s="863" t="s">
        <v>708</v>
      </c>
      <c r="C14" s="978">
        <f>'AT-3'!G14</f>
        <v>3120</v>
      </c>
      <c r="D14" s="865">
        <v>1356</v>
      </c>
      <c r="E14" s="865">
        <f>1106-4</f>
        <v>1102</v>
      </c>
      <c r="F14" s="865">
        <v>662</v>
      </c>
      <c r="G14" s="865">
        <v>0</v>
      </c>
      <c r="H14" s="865">
        <f t="shared" si="0"/>
        <v>0</v>
      </c>
      <c r="I14" s="865">
        <v>3124</v>
      </c>
      <c r="J14" s="865">
        <f t="shared" si="1"/>
        <v>3120</v>
      </c>
      <c r="K14" s="865">
        <v>3124</v>
      </c>
      <c r="L14" s="865">
        <v>1553</v>
      </c>
      <c r="M14" s="865">
        <v>1571</v>
      </c>
      <c r="N14" s="865">
        <v>5671</v>
      </c>
    </row>
    <row r="15" spans="1:14" s="369" customFormat="1" ht="24" customHeight="1" x14ac:dyDescent="0.2">
      <c r="A15" s="546">
        <v>7</v>
      </c>
      <c r="B15" s="863" t="s">
        <v>709</v>
      </c>
      <c r="C15" s="978">
        <f>'AT-3'!G15</f>
        <v>3497</v>
      </c>
      <c r="D15" s="865">
        <v>634</v>
      </c>
      <c r="E15" s="865">
        <v>1015</v>
      </c>
      <c r="F15" s="865">
        <v>1360</v>
      </c>
      <c r="G15" s="865">
        <v>129</v>
      </c>
      <c r="H15" s="865">
        <f t="shared" si="0"/>
        <v>359</v>
      </c>
      <c r="I15" s="865">
        <v>3091</v>
      </c>
      <c r="J15" s="865">
        <f t="shared" si="1"/>
        <v>3497</v>
      </c>
      <c r="K15" s="865">
        <v>3393</v>
      </c>
      <c r="L15" s="865">
        <v>2492</v>
      </c>
      <c r="M15" s="865">
        <v>2366</v>
      </c>
      <c r="N15" s="865">
        <v>3819</v>
      </c>
    </row>
    <row r="16" spans="1:14" s="369" customFormat="1" ht="24" customHeight="1" x14ac:dyDescent="0.2">
      <c r="A16" s="546">
        <v>8</v>
      </c>
      <c r="B16" s="863" t="s">
        <v>710</v>
      </c>
      <c r="C16" s="978">
        <f>'AT-3'!G16</f>
        <v>3367</v>
      </c>
      <c r="D16" s="865">
        <v>68</v>
      </c>
      <c r="E16" s="865">
        <v>210</v>
      </c>
      <c r="F16" s="865">
        <f>3241-152</f>
        <v>3089</v>
      </c>
      <c r="G16" s="865">
        <v>0</v>
      </c>
      <c r="H16" s="865">
        <f t="shared" si="0"/>
        <v>0</v>
      </c>
      <c r="I16" s="865">
        <v>0</v>
      </c>
      <c r="J16" s="865">
        <f t="shared" si="1"/>
        <v>3367</v>
      </c>
      <c r="K16" s="865">
        <v>3305</v>
      </c>
      <c r="L16" s="865">
        <v>1800</v>
      </c>
      <c r="M16" s="865">
        <v>0</v>
      </c>
      <c r="N16" s="865">
        <v>0</v>
      </c>
    </row>
    <row r="17" spans="1:14" s="369" customFormat="1" ht="24" customHeight="1" x14ac:dyDescent="0.2">
      <c r="A17" s="546">
        <v>9</v>
      </c>
      <c r="B17" s="863" t="s">
        <v>711</v>
      </c>
      <c r="C17" s="978">
        <f>'AT-3'!G17</f>
        <v>3425</v>
      </c>
      <c r="D17" s="530">
        <v>1875</v>
      </c>
      <c r="E17" s="530">
        <v>1200</v>
      </c>
      <c r="F17" s="530">
        <f>C17-D17-E17</f>
        <v>350</v>
      </c>
      <c r="G17" s="865">
        <v>0</v>
      </c>
      <c r="H17" s="865">
        <f t="shared" si="0"/>
        <v>0</v>
      </c>
      <c r="I17" s="530">
        <v>3425</v>
      </c>
      <c r="J17" s="865">
        <f t="shared" si="1"/>
        <v>3425</v>
      </c>
      <c r="K17" s="535">
        <v>3409</v>
      </c>
      <c r="L17" s="535">
        <v>0</v>
      </c>
      <c r="M17" s="535">
        <v>0</v>
      </c>
      <c r="N17" s="535">
        <v>0</v>
      </c>
    </row>
    <row r="18" spans="1:14" s="369" customFormat="1" ht="24" customHeight="1" x14ac:dyDescent="0.2">
      <c r="A18" s="546">
        <v>10</v>
      </c>
      <c r="B18" s="863" t="s">
        <v>712</v>
      </c>
      <c r="C18" s="978">
        <f>'AT-3'!G18</f>
        <v>4816</v>
      </c>
      <c r="D18" s="530">
        <v>1391</v>
      </c>
      <c r="E18" s="530">
        <v>2266</v>
      </c>
      <c r="F18" s="530">
        <v>195</v>
      </c>
      <c r="G18" s="865">
        <v>333</v>
      </c>
      <c r="H18" s="865">
        <f t="shared" si="0"/>
        <v>631</v>
      </c>
      <c r="I18" s="530">
        <v>4817</v>
      </c>
      <c r="J18" s="865">
        <f t="shared" si="1"/>
        <v>4816</v>
      </c>
      <c r="K18" s="530">
        <v>4762</v>
      </c>
      <c r="L18" s="530">
        <v>2093</v>
      </c>
      <c r="M18" s="530">
        <v>1240</v>
      </c>
      <c r="N18" s="530">
        <v>4817</v>
      </c>
    </row>
    <row r="19" spans="1:14" s="369" customFormat="1" ht="24" customHeight="1" x14ac:dyDescent="0.2">
      <c r="A19" s="546">
        <v>11</v>
      </c>
      <c r="B19" s="863" t="s">
        <v>713</v>
      </c>
      <c r="C19" s="978">
        <f>'AT-3'!G19</f>
        <v>3369</v>
      </c>
      <c r="D19" s="530">
        <v>892</v>
      </c>
      <c r="E19" s="530">
        <v>965</v>
      </c>
      <c r="F19" s="530">
        <v>165</v>
      </c>
      <c r="G19" s="865">
        <v>0</v>
      </c>
      <c r="H19" s="865">
        <f t="shared" si="0"/>
        <v>1347</v>
      </c>
      <c r="I19" s="530"/>
      <c r="J19" s="865">
        <f t="shared" si="1"/>
        <v>3369</v>
      </c>
      <c r="K19" s="530">
        <v>3124</v>
      </c>
      <c r="L19" s="530">
        <v>258</v>
      </c>
      <c r="M19" s="530">
        <v>0</v>
      </c>
      <c r="N19" s="530">
        <v>3332</v>
      </c>
    </row>
    <row r="20" spans="1:14" s="369" customFormat="1" ht="24" customHeight="1" x14ac:dyDescent="0.2">
      <c r="A20" s="546">
        <v>12</v>
      </c>
      <c r="B20" s="863" t="s">
        <v>714</v>
      </c>
      <c r="C20" s="978">
        <f>'AT-3'!G20</f>
        <v>3818</v>
      </c>
      <c r="D20" s="530">
        <v>1108</v>
      </c>
      <c r="E20" s="530">
        <v>1986</v>
      </c>
      <c r="F20" s="530">
        <v>379</v>
      </c>
      <c r="G20" s="865">
        <v>0</v>
      </c>
      <c r="H20" s="865">
        <f t="shared" si="0"/>
        <v>345</v>
      </c>
      <c r="I20" s="530">
        <v>3752</v>
      </c>
      <c r="J20" s="865">
        <f t="shared" si="1"/>
        <v>3818</v>
      </c>
      <c r="K20" s="530">
        <v>1130</v>
      </c>
      <c r="L20" s="530">
        <v>336</v>
      </c>
      <c r="M20" s="530">
        <v>601</v>
      </c>
      <c r="N20" s="530">
        <v>123</v>
      </c>
    </row>
    <row r="21" spans="1:14" s="369" customFormat="1" ht="24" customHeight="1" x14ac:dyDescent="0.2">
      <c r="A21" s="546">
        <v>13</v>
      </c>
      <c r="B21" s="864" t="s">
        <v>715</v>
      </c>
      <c r="C21" s="978">
        <f>'AT-3'!G21</f>
        <v>2869</v>
      </c>
      <c r="D21" s="530">
        <v>0</v>
      </c>
      <c r="E21" s="530">
        <v>0</v>
      </c>
      <c r="F21" s="530">
        <v>0</v>
      </c>
      <c r="G21" s="530">
        <v>0</v>
      </c>
      <c r="H21" s="865">
        <f t="shared" si="0"/>
        <v>2869</v>
      </c>
      <c r="I21" s="530">
        <v>0</v>
      </c>
      <c r="J21" s="865">
        <f t="shared" si="1"/>
        <v>2869</v>
      </c>
      <c r="K21" s="530">
        <f>C21</f>
        <v>2869</v>
      </c>
      <c r="L21" s="530">
        <v>0</v>
      </c>
      <c r="M21" s="530">
        <v>0</v>
      </c>
      <c r="N21" s="530">
        <v>0</v>
      </c>
    </row>
    <row r="22" spans="1:14" s="369" customFormat="1" ht="19.5" customHeight="1" x14ac:dyDescent="0.2">
      <c r="A22" s="1477" t="s">
        <v>13</v>
      </c>
      <c r="B22" s="1478"/>
      <c r="C22" s="979">
        <f>SUM(C9:C21)</f>
        <v>45505</v>
      </c>
      <c r="D22" s="866">
        <f t="shared" ref="D22:N22" si="2">SUM(D9:D21)</f>
        <v>10106</v>
      </c>
      <c r="E22" s="866">
        <f t="shared" si="2"/>
        <v>14623</v>
      </c>
      <c r="F22" s="866">
        <f t="shared" si="2"/>
        <v>13253</v>
      </c>
      <c r="G22" s="866">
        <f t="shared" si="2"/>
        <v>749</v>
      </c>
      <c r="H22" s="866">
        <f>SUM(H9:H21)</f>
        <v>6774</v>
      </c>
      <c r="I22" s="866">
        <f t="shared" si="2"/>
        <v>31956</v>
      </c>
      <c r="J22" s="866">
        <f t="shared" si="2"/>
        <v>45505</v>
      </c>
      <c r="K22" s="866">
        <f t="shared" si="2"/>
        <v>41899</v>
      </c>
      <c r="L22" s="866">
        <f t="shared" si="2"/>
        <v>18008</v>
      </c>
      <c r="M22" s="866">
        <f t="shared" si="2"/>
        <v>12764</v>
      </c>
      <c r="N22" s="866">
        <f t="shared" si="2"/>
        <v>36235</v>
      </c>
    </row>
    <row r="25" spans="1:14" ht="59.25" customHeight="1" x14ac:dyDescent="0.25">
      <c r="A25" s="1458" t="s">
        <v>699</v>
      </c>
      <c r="B25" s="1458"/>
      <c r="K25" s="1459" t="s">
        <v>646</v>
      </c>
      <c r="L25" s="1459"/>
      <c r="M25" s="1459"/>
      <c r="N25" s="1459"/>
    </row>
  </sheetData>
  <mergeCells count="14">
    <mergeCell ref="A22:B22"/>
    <mergeCell ref="A25:B25"/>
    <mergeCell ref="K25:N25"/>
    <mergeCell ref="M1:N1"/>
    <mergeCell ref="D6:H6"/>
    <mergeCell ref="C6:C7"/>
    <mergeCell ref="A1:K1"/>
    <mergeCell ref="A2:K2"/>
    <mergeCell ref="A4:H4"/>
    <mergeCell ref="A6:A7"/>
    <mergeCell ref="B6:B7"/>
    <mergeCell ref="K6:N6"/>
    <mergeCell ref="I6:I7"/>
    <mergeCell ref="J6:J7"/>
  </mergeCells>
  <printOptions horizontalCentered="1"/>
  <pageMargins left="0.70866141732283472" right="7.874015748031496E-2" top="0.39370078740157483" bottom="0" header="0.31496062992125984" footer="0.31496062992125984"/>
  <pageSetup paperSize="9" scale="8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5" tint="0.59999389629810485"/>
    <pageSetUpPr fitToPage="1"/>
  </sheetPr>
  <dimension ref="A1:H24"/>
  <sheetViews>
    <sheetView view="pageBreakPreview" zoomScale="110" zoomScaleSheetLayoutView="110" workbookViewId="0">
      <selection activeCell="C32" sqref="C32"/>
    </sheetView>
  </sheetViews>
  <sheetFormatPr defaultRowHeight="12.75" x14ac:dyDescent="0.2"/>
  <cols>
    <col min="1" max="1" width="8.28515625" customWidth="1"/>
    <col min="2" max="2" width="21.85546875" customWidth="1"/>
    <col min="3" max="3" width="16.7109375" customWidth="1"/>
    <col min="4" max="4" width="12.5703125" customWidth="1"/>
    <col min="5" max="5" width="13" customWidth="1"/>
    <col min="6" max="6" width="15.85546875" customWidth="1"/>
    <col min="7" max="7" width="13.5703125" customWidth="1"/>
    <col min="8" max="8" width="15.5703125" customWidth="1"/>
  </cols>
  <sheetData>
    <row r="1" spans="1:8" ht="18" x14ac:dyDescent="0.35">
      <c r="A1" s="1420" t="s">
        <v>0</v>
      </c>
      <c r="B1" s="1420"/>
      <c r="C1" s="1420"/>
      <c r="D1" s="1420"/>
      <c r="E1" s="1420"/>
      <c r="F1" s="1420"/>
      <c r="G1" s="1420"/>
      <c r="H1" s="74" t="s">
        <v>505</v>
      </c>
    </row>
    <row r="2" spans="1:8" ht="21" x14ac:dyDescent="0.35">
      <c r="A2" s="1421" t="s">
        <v>793</v>
      </c>
      <c r="B2" s="1421"/>
      <c r="C2" s="1421"/>
      <c r="D2" s="1421"/>
      <c r="E2" s="1421"/>
      <c r="F2" s="1421"/>
      <c r="G2" s="1421"/>
    </row>
    <row r="3" spans="1:8" ht="15" x14ac:dyDescent="0.3">
      <c r="A3" s="68"/>
      <c r="B3" s="68"/>
      <c r="C3" s="68"/>
      <c r="D3" s="68"/>
      <c r="E3" s="68"/>
      <c r="F3" s="68"/>
      <c r="G3" s="68"/>
    </row>
    <row r="4" spans="1:8" ht="18" x14ac:dyDescent="0.35">
      <c r="A4" s="1420" t="s">
        <v>504</v>
      </c>
      <c r="B4" s="1420"/>
      <c r="C4" s="1420"/>
      <c r="D4" s="1420"/>
      <c r="E4" s="1420"/>
      <c r="F4" s="1420"/>
      <c r="G4" s="1420"/>
    </row>
    <row r="5" spans="1:8" ht="15.75" customHeight="1" x14ac:dyDescent="0.3">
      <c r="A5" s="69" t="s">
        <v>687</v>
      </c>
      <c r="B5" s="69"/>
      <c r="C5" s="69"/>
      <c r="D5" s="69"/>
      <c r="E5" s="69"/>
      <c r="F5" s="69"/>
      <c r="G5" s="69" t="s">
        <v>924</v>
      </c>
    </row>
    <row r="6" spans="1:8" ht="21.75" customHeight="1" x14ac:dyDescent="0.2">
      <c r="A6" s="1486" t="s">
        <v>2</v>
      </c>
      <c r="B6" s="1486" t="s">
        <v>481</v>
      </c>
      <c r="C6" s="1199" t="s">
        <v>30</v>
      </c>
      <c r="D6" s="1199" t="s">
        <v>486</v>
      </c>
      <c r="E6" s="1199"/>
      <c r="F6" s="1489" t="s">
        <v>487</v>
      </c>
      <c r="G6" s="1489"/>
      <c r="H6" s="1486" t="s">
        <v>210</v>
      </c>
    </row>
    <row r="7" spans="1:8" ht="25.5" customHeight="1" x14ac:dyDescent="0.2">
      <c r="A7" s="1487"/>
      <c r="B7" s="1487"/>
      <c r="C7" s="1199"/>
      <c r="D7" s="292" t="s">
        <v>482</v>
      </c>
      <c r="E7" s="292" t="s">
        <v>483</v>
      </c>
      <c r="F7" s="291" t="s">
        <v>484</v>
      </c>
      <c r="G7" s="292" t="s">
        <v>485</v>
      </c>
      <c r="H7" s="1487"/>
    </row>
    <row r="8" spans="1:8" ht="15" x14ac:dyDescent="0.2">
      <c r="A8" s="70" t="s">
        <v>248</v>
      </c>
      <c r="B8" s="70" t="s">
        <v>249</v>
      </c>
      <c r="C8" s="70" t="s">
        <v>250</v>
      </c>
      <c r="D8" s="70" t="s">
        <v>251</v>
      </c>
      <c r="E8" s="70" t="s">
        <v>252</v>
      </c>
      <c r="F8" s="70" t="s">
        <v>253</v>
      </c>
      <c r="G8" s="70" t="s">
        <v>254</v>
      </c>
      <c r="H8" s="70">
        <v>8</v>
      </c>
    </row>
    <row r="9" spans="1:8" s="227" customFormat="1" ht="23.25" customHeight="1" x14ac:dyDescent="0.2">
      <c r="A9" s="233">
        <v>1</v>
      </c>
      <c r="B9" s="173" t="s">
        <v>647</v>
      </c>
      <c r="C9" s="1488" t="s">
        <v>671</v>
      </c>
      <c r="D9" s="1488"/>
      <c r="E9" s="1488"/>
      <c r="F9" s="1488"/>
      <c r="G9" s="1488"/>
      <c r="H9" s="1488"/>
    </row>
    <row r="10" spans="1:8" s="227" customFormat="1" ht="23.25" customHeight="1" x14ac:dyDescent="0.2">
      <c r="A10" s="233">
        <v>2</v>
      </c>
      <c r="B10" s="173" t="s">
        <v>648</v>
      </c>
      <c r="C10" s="1488"/>
      <c r="D10" s="1488"/>
      <c r="E10" s="1488"/>
      <c r="F10" s="1488"/>
      <c r="G10" s="1488"/>
      <c r="H10" s="1488"/>
    </row>
    <row r="11" spans="1:8" s="227" customFormat="1" ht="23.25" customHeight="1" x14ac:dyDescent="0.2">
      <c r="A11" s="233">
        <v>3</v>
      </c>
      <c r="B11" s="173" t="s">
        <v>649</v>
      </c>
      <c r="C11" s="1488"/>
      <c r="D11" s="1488"/>
      <c r="E11" s="1488"/>
      <c r="F11" s="1488"/>
      <c r="G11" s="1488"/>
      <c r="H11" s="1488"/>
    </row>
    <row r="12" spans="1:8" s="227" customFormat="1" ht="23.25" customHeight="1" x14ac:dyDescent="0.2">
      <c r="A12" s="233">
        <v>4</v>
      </c>
      <c r="B12" s="173" t="s">
        <v>650</v>
      </c>
      <c r="C12" s="1488"/>
      <c r="D12" s="1488"/>
      <c r="E12" s="1488"/>
      <c r="F12" s="1488"/>
      <c r="G12" s="1488"/>
      <c r="H12" s="1488"/>
    </row>
    <row r="13" spans="1:8" s="227" customFormat="1" ht="23.25" customHeight="1" x14ac:dyDescent="0.2">
      <c r="A13" s="233">
        <v>5</v>
      </c>
      <c r="B13" s="173" t="s">
        <v>651</v>
      </c>
      <c r="C13" s="1488"/>
      <c r="D13" s="1488"/>
      <c r="E13" s="1488"/>
      <c r="F13" s="1488"/>
      <c r="G13" s="1488"/>
      <c r="H13" s="1488"/>
    </row>
    <row r="14" spans="1:8" s="227" customFormat="1" ht="23.25" customHeight="1" x14ac:dyDescent="0.2">
      <c r="A14" s="233">
        <v>6</v>
      </c>
      <c r="B14" s="173" t="s">
        <v>652</v>
      </c>
      <c r="C14" s="1488"/>
      <c r="D14" s="1488"/>
      <c r="E14" s="1488"/>
      <c r="F14" s="1488"/>
      <c r="G14" s="1488"/>
      <c r="H14" s="1488"/>
    </row>
    <row r="15" spans="1:8" s="227" customFormat="1" ht="23.25" customHeight="1" x14ac:dyDescent="0.2">
      <c r="A15" s="233">
        <v>7</v>
      </c>
      <c r="B15" s="173" t="s">
        <v>653</v>
      </c>
      <c r="C15" s="1488"/>
      <c r="D15" s="1488"/>
      <c r="E15" s="1488"/>
      <c r="F15" s="1488"/>
      <c r="G15" s="1488"/>
      <c r="H15" s="1488"/>
    </row>
    <row r="16" spans="1:8" s="227" customFormat="1" ht="23.25" customHeight="1" x14ac:dyDescent="0.2">
      <c r="A16" s="233">
        <v>8</v>
      </c>
      <c r="B16" s="173" t="s">
        <v>654</v>
      </c>
      <c r="C16" s="1488"/>
      <c r="D16" s="1488"/>
      <c r="E16" s="1488"/>
      <c r="F16" s="1488"/>
      <c r="G16" s="1488"/>
      <c r="H16" s="1488"/>
    </row>
    <row r="17" spans="1:8" s="227" customFormat="1" ht="23.25" customHeight="1" x14ac:dyDescent="0.2">
      <c r="A17" s="233">
        <v>9</v>
      </c>
      <c r="B17" s="173" t="s">
        <v>655</v>
      </c>
      <c r="C17" s="1488"/>
      <c r="D17" s="1488"/>
      <c r="E17" s="1488"/>
      <c r="F17" s="1488"/>
      <c r="G17" s="1488"/>
      <c r="H17" s="1488"/>
    </row>
    <row r="18" spans="1:8" s="227" customFormat="1" ht="23.25" customHeight="1" x14ac:dyDescent="0.2">
      <c r="A18" s="233">
        <v>10</v>
      </c>
      <c r="B18" s="173" t="s">
        <v>656</v>
      </c>
      <c r="C18" s="1488"/>
      <c r="D18" s="1488"/>
      <c r="E18" s="1488"/>
      <c r="F18" s="1488"/>
      <c r="G18" s="1488"/>
      <c r="H18" s="1488"/>
    </row>
    <row r="19" spans="1:8" s="227" customFormat="1" ht="23.25" customHeight="1" x14ac:dyDescent="0.2">
      <c r="A19" s="233">
        <v>11</v>
      </c>
      <c r="B19" s="173" t="s">
        <v>657</v>
      </c>
      <c r="C19" s="1488"/>
      <c r="D19" s="1488"/>
      <c r="E19" s="1488"/>
      <c r="F19" s="1488"/>
      <c r="G19" s="1488"/>
      <c r="H19" s="1488"/>
    </row>
    <row r="20" spans="1:8" s="227" customFormat="1" ht="23.25" customHeight="1" x14ac:dyDescent="0.2">
      <c r="A20" s="233">
        <v>12</v>
      </c>
      <c r="B20" s="173" t="s">
        <v>658</v>
      </c>
      <c r="C20" s="1488"/>
      <c r="D20" s="1488"/>
      <c r="E20" s="1488"/>
      <c r="F20" s="1488"/>
      <c r="G20" s="1488"/>
      <c r="H20" s="1488"/>
    </row>
    <row r="21" spans="1:8" s="227" customFormat="1" ht="23.25" customHeight="1" x14ac:dyDescent="0.2">
      <c r="A21" s="233">
        <v>13</v>
      </c>
      <c r="B21" s="173" t="s">
        <v>659</v>
      </c>
      <c r="C21" s="1488"/>
      <c r="D21" s="1488"/>
      <c r="E21" s="1488"/>
      <c r="F21" s="1488"/>
      <c r="G21" s="1488"/>
      <c r="H21" s="1488"/>
    </row>
    <row r="22" spans="1:8" s="228" customFormat="1" ht="24" customHeight="1" x14ac:dyDescent="0.2">
      <c r="A22" s="1330" t="s">
        <v>660</v>
      </c>
      <c r="B22" s="1331"/>
      <c r="C22" s="231"/>
      <c r="D22" s="231"/>
      <c r="E22" s="231"/>
      <c r="F22" s="231"/>
      <c r="G22" s="231"/>
      <c r="H22" s="231"/>
    </row>
    <row r="23" spans="1:8" s="227" customFormat="1" ht="15.75" customHeight="1" x14ac:dyDescent="0.2">
      <c r="A23" s="228"/>
      <c r="B23" s="228"/>
      <c r="C23" s="228"/>
      <c r="D23" s="228"/>
      <c r="E23" s="228"/>
      <c r="F23" s="228"/>
      <c r="G23" s="228"/>
      <c r="H23" s="228"/>
    </row>
    <row r="24" spans="1:8" s="227" customFormat="1" ht="60" customHeight="1" x14ac:dyDescent="0.2">
      <c r="A24" s="1332" t="s">
        <v>676</v>
      </c>
      <c r="B24" s="1332"/>
      <c r="C24" s="234"/>
      <c r="D24" s="235"/>
      <c r="E24" s="235"/>
      <c r="F24" s="1415" t="s">
        <v>646</v>
      </c>
      <c r="G24" s="1415"/>
      <c r="H24" s="1415"/>
    </row>
  </sheetData>
  <mergeCells count="13"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C9:H21"/>
    <mergeCell ref="A22:B22"/>
    <mergeCell ref="A24:B24"/>
    <mergeCell ref="F24:H24"/>
  </mergeCells>
  <printOptions horizontalCentered="1"/>
  <pageMargins left="0.70866141732283472" right="7.874015748031496E-2" top="0.23622047244094491" bottom="0.19685039370078741" header="7.874015748031496E-2" footer="7.874015748031496E-2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5" tint="0.59999389629810485"/>
  </sheetPr>
  <dimension ref="A1:M25"/>
  <sheetViews>
    <sheetView view="pageBreakPreview" topLeftCell="A4" zoomScale="84" zoomScaleSheetLayoutView="84" workbookViewId="0">
      <selection activeCell="A4" sqref="A4:K4"/>
    </sheetView>
  </sheetViews>
  <sheetFormatPr defaultRowHeight="12.75" x14ac:dyDescent="0.2"/>
  <cols>
    <col min="1" max="1" width="6.42578125" customWidth="1"/>
    <col min="2" max="2" width="15.42578125" customWidth="1"/>
    <col min="3" max="7" width="13.7109375" customWidth="1"/>
    <col min="8" max="8" width="15.7109375" customWidth="1"/>
    <col min="9" max="10" width="13" customWidth="1"/>
    <col min="11" max="11" width="14.140625" customWidth="1"/>
    <col min="12" max="12" width="14.28515625" customWidth="1"/>
  </cols>
  <sheetData>
    <row r="1" spans="1:13" ht="18" x14ac:dyDescent="0.35">
      <c r="A1" s="1420" t="s">
        <v>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74" t="s">
        <v>507</v>
      </c>
    </row>
    <row r="2" spans="1:13" ht="21" x14ac:dyDescent="0.35">
      <c r="A2" s="1421" t="s">
        <v>493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</row>
    <row r="3" spans="1:13" ht="15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3" ht="18" x14ac:dyDescent="0.35">
      <c r="A4" s="1420" t="s">
        <v>506</v>
      </c>
      <c r="B4" s="1420"/>
      <c r="C4" s="1420"/>
      <c r="D4" s="1420"/>
      <c r="E4" s="1420"/>
      <c r="F4" s="1420"/>
      <c r="G4" s="1420"/>
      <c r="H4" s="1420"/>
      <c r="I4" s="1420"/>
      <c r="J4" s="1420"/>
      <c r="K4" s="1420"/>
    </row>
    <row r="5" spans="1:13" ht="15" x14ac:dyDescent="0.3">
      <c r="A5" s="69" t="s">
        <v>687</v>
      </c>
      <c r="B5" s="69"/>
      <c r="C5" s="69"/>
      <c r="D5" s="69"/>
      <c r="E5" s="69"/>
      <c r="F5" s="69"/>
      <c r="G5" s="69"/>
      <c r="H5" s="69"/>
      <c r="I5" s="69"/>
      <c r="J5" s="69" t="s">
        <v>924</v>
      </c>
      <c r="K5" s="69"/>
    </row>
    <row r="6" spans="1:13" ht="21.75" customHeight="1" x14ac:dyDescent="0.2">
      <c r="A6" s="1416" t="s">
        <v>2</v>
      </c>
      <c r="B6" s="1416" t="s">
        <v>30</v>
      </c>
      <c r="C6" s="1199" t="s">
        <v>447</v>
      </c>
      <c r="D6" s="1199"/>
      <c r="E6" s="1199"/>
      <c r="F6" s="1199" t="s">
        <v>453</v>
      </c>
      <c r="G6" s="1199"/>
      <c r="H6" s="1199"/>
      <c r="I6" s="1199"/>
      <c r="J6" s="1199" t="s">
        <v>455</v>
      </c>
      <c r="K6" s="1199"/>
      <c r="L6" s="1199"/>
    </row>
    <row r="7" spans="1:13" ht="29.25" customHeight="1" x14ac:dyDescent="0.2">
      <c r="A7" s="1416"/>
      <c r="B7" s="1416"/>
      <c r="C7" s="558" t="s">
        <v>201</v>
      </c>
      <c r="D7" s="558" t="s">
        <v>449</v>
      </c>
      <c r="E7" s="558" t="s">
        <v>454</v>
      </c>
      <c r="F7" s="558" t="s">
        <v>201</v>
      </c>
      <c r="G7" s="558" t="s">
        <v>448</v>
      </c>
      <c r="H7" s="558" t="s">
        <v>450</v>
      </c>
      <c r="I7" s="558" t="s">
        <v>454</v>
      </c>
      <c r="J7" s="557" t="s">
        <v>451</v>
      </c>
      <c r="K7" s="557" t="s">
        <v>452</v>
      </c>
      <c r="L7" s="558" t="s">
        <v>454</v>
      </c>
    </row>
    <row r="8" spans="1:13" ht="15" x14ac:dyDescent="0.2">
      <c r="A8" s="583" t="s">
        <v>248</v>
      </c>
      <c r="B8" s="583" t="s">
        <v>249</v>
      </c>
      <c r="C8" s="583" t="s">
        <v>250</v>
      </c>
      <c r="D8" s="583" t="s">
        <v>251</v>
      </c>
      <c r="E8" s="583" t="s">
        <v>252</v>
      </c>
      <c r="F8" s="583" t="s">
        <v>253</v>
      </c>
      <c r="G8" s="583" t="s">
        <v>254</v>
      </c>
      <c r="H8" s="583" t="s">
        <v>255</v>
      </c>
      <c r="I8" s="583" t="s">
        <v>276</v>
      </c>
      <c r="J8" s="583" t="s">
        <v>277</v>
      </c>
      <c r="K8" s="583" t="s">
        <v>278</v>
      </c>
      <c r="L8" s="583" t="s">
        <v>306</v>
      </c>
    </row>
    <row r="9" spans="1:13" s="227" customFormat="1" ht="27" customHeight="1" x14ac:dyDescent="0.2">
      <c r="A9" s="233">
        <v>1</v>
      </c>
      <c r="B9" s="173" t="s">
        <v>647</v>
      </c>
      <c r="C9" s="847" t="s">
        <v>7</v>
      </c>
      <c r="D9" s="847" t="s">
        <v>7</v>
      </c>
      <c r="E9" s="847" t="s">
        <v>7</v>
      </c>
      <c r="F9" s="847" t="s">
        <v>7</v>
      </c>
      <c r="G9" s="847" t="s">
        <v>7</v>
      </c>
      <c r="H9" s="847" t="s">
        <v>7</v>
      </c>
      <c r="I9" s="847" t="s">
        <v>7</v>
      </c>
      <c r="J9" s="847" t="s">
        <v>7</v>
      </c>
      <c r="K9" s="847" t="s">
        <v>7</v>
      </c>
      <c r="L9" s="847" t="s">
        <v>7</v>
      </c>
      <c r="M9" s="273"/>
    </row>
    <row r="10" spans="1:13" s="227" customFormat="1" ht="27" customHeight="1" x14ac:dyDescent="0.2">
      <c r="A10" s="233">
        <v>2</v>
      </c>
      <c r="B10" s="173" t="s">
        <v>648</v>
      </c>
      <c r="C10" s="847" t="s">
        <v>7</v>
      </c>
      <c r="D10" s="847" t="s">
        <v>7</v>
      </c>
      <c r="E10" s="847" t="s">
        <v>7</v>
      </c>
      <c r="F10" s="847" t="s">
        <v>7</v>
      </c>
      <c r="G10" s="847" t="s">
        <v>7</v>
      </c>
      <c r="H10" s="847" t="s">
        <v>7</v>
      </c>
      <c r="I10" s="847" t="s">
        <v>7</v>
      </c>
      <c r="J10" s="847" t="s">
        <v>7</v>
      </c>
      <c r="K10" s="847" t="s">
        <v>7</v>
      </c>
      <c r="L10" s="847" t="s">
        <v>7</v>
      </c>
      <c r="M10" s="273"/>
    </row>
    <row r="11" spans="1:13" s="227" customFormat="1" ht="27" customHeight="1" x14ac:dyDescent="0.2">
      <c r="A11" s="233">
        <v>3</v>
      </c>
      <c r="B11" s="173" t="s">
        <v>649</v>
      </c>
      <c r="C11" s="847" t="s">
        <v>7</v>
      </c>
      <c r="D11" s="847" t="s">
        <v>7</v>
      </c>
      <c r="E11" s="847" t="s">
        <v>7</v>
      </c>
      <c r="F11" s="862">
        <v>204</v>
      </c>
      <c r="G11" s="862">
        <v>21037</v>
      </c>
      <c r="H11" s="300" t="s">
        <v>904</v>
      </c>
      <c r="I11" s="605">
        <v>105185</v>
      </c>
      <c r="J11" s="1490" t="s">
        <v>903</v>
      </c>
      <c r="K11" s="1491"/>
      <c r="L11" s="1492"/>
      <c r="M11" s="273"/>
    </row>
    <row r="12" spans="1:13" s="227" customFormat="1" ht="27" customHeight="1" x14ac:dyDescent="0.2">
      <c r="A12" s="233">
        <v>4</v>
      </c>
      <c r="B12" s="173" t="s">
        <v>650</v>
      </c>
      <c r="C12" s="847" t="s">
        <v>7</v>
      </c>
      <c r="D12" s="847" t="s">
        <v>7</v>
      </c>
      <c r="E12" s="847" t="s">
        <v>7</v>
      </c>
      <c r="F12" s="847" t="s">
        <v>7</v>
      </c>
      <c r="G12" s="847" t="s">
        <v>7</v>
      </c>
      <c r="H12" s="847" t="s">
        <v>7</v>
      </c>
      <c r="I12" s="847" t="s">
        <v>7</v>
      </c>
      <c r="J12" s="847" t="s">
        <v>7</v>
      </c>
      <c r="K12" s="847" t="s">
        <v>7</v>
      </c>
      <c r="L12" s="847" t="s">
        <v>7</v>
      </c>
      <c r="M12" s="273"/>
    </row>
    <row r="13" spans="1:13" s="227" customFormat="1" ht="27" customHeight="1" x14ac:dyDescent="0.2">
      <c r="A13" s="233">
        <v>5</v>
      </c>
      <c r="B13" s="173" t="s">
        <v>651</v>
      </c>
      <c r="C13" s="847" t="s">
        <v>7</v>
      </c>
      <c r="D13" s="847" t="s">
        <v>7</v>
      </c>
      <c r="E13" s="847" t="s">
        <v>7</v>
      </c>
      <c r="F13" s="847" t="s">
        <v>7</v>
      </c>
      <c r="G13" s="847" t="s">
        <v>7</v>
      </c>
      <c r="H13" s="847" t="s">
        <v>7</v>
      </c>
      <c r="I13" s="847" t="s">
        <v>7</v>
      </c>
      <c r="J13" s="847" t="s">
        <v>7</v>
      </c>
      <c r="K13" s="847" t="s">
        <v>7</v>
      </c>
      <c r="L13" s="847" t="s">
        <v>7</v>
      </c>
      <c r="M13" s="273"/>
    </row>
    <row r="14" spans="1:13" s="227" customFormat="1" ht="27" customHeight="1" x14ac:dyDescent="0.2">
      <c r="A14" s="233">
        <v>6</v>
      </c>
      <c r="B14" s="173" t="s">
        <v>652</v>
      </c>
      <c r="C14" s="847" t="s">
        <v>7</v>
      </c>
      <c r="D14" s="847" t="s">
        <v>7</v>
      </c>
      <c r="E14" s="847" t="s">
        <v>7</v>
      </c>
      <c r="F14" s="847" t="s">
        <v>7</v>
      </c>
      <c r="G14" s="847" t="s">
        <v>7</v>
      </c>
      <c r="H14" s="847" t="s">
        <v>7</v>
      </c>
      <c r="I14" s="847" t="s">
        <v>7</v>
      </c>
      <c r="J14" s="847" t="s">
        <v>7</v>
      </c>
      <c r="K14" s="847" t="s">
        <v>7</v>
      </c>
      <c r="L14" s="847" t="s">
        <v>7</v>
      </c>
      <c r="M14" s="273"/>
    </row>
    <row r="15" spans="1:13" s="227" customFormat="1" ht="27" customHeight="1" x14ac:dyDescent="0.2">
      <c r="A15" s="233">
        <v>7</v>
      </c>
      <c r="B15" s="173" t="s">
        <v>653</v>
      </c>
      <c r="C15" s="847" t="s">
        <v>7</v>
      </c>
      <c r="D15" s="847" t="s">
        <v>7</v>
      </c>
      <c r="E15" s="847" t="s">
        <v>7</v>
      </c>
      <c r="F15" s="847" t="s">
        <v>7</v>
      </c>
      <c r="G15" s="847" t="s">
        <v>7</v>
      </c>
      <c r="H15" s="847" t="s">
        <v>7</v>
      </c>
      <c r="I15" s="847" t="s">
        <v>7</v>
      </c>
      <c r="J15" s="847" t="s">
        <v>7</v>
      </c>
      <c r="K15" s="847" t="s">
        <v>7</v>
      </c>
      <c r="L15" s="847" t="s">
        <v>7</v>
      </c>
      <c r="M15" s="273"/>
    </row>
    <row r="16" spans="1:13" s="227" customFormat="1" ht="27" customHeight="1" x14ac:dyDescent="0.2">
      <c r="A16" s="233">
        <v>8</v>
      </c>
      <c r="B16" s="173" t="s">
        <v>654</v>
      </c>
      <c r="C16" s="847" t="s">
        <v>7</v>
      </c>
      <c r="D16" s="847" t="s">
        <v>7</v>
      </c>
      <c r="E16" s="847" t="s">
        <v>7</v>
      </c>
      <c r="F16" s="847" t="s">
        <v>7</v>
      </c>
      <c r="G16" s="847" t="s">
        <v>7</v>
      </c>
      <c r="H16" s="847" t="s">
        <v>7</v>
      </c>
      <c r="I16" s="847" t="s">
        <v>7</v>
      </c>
      <c r="J16" s="847" t="s">
        <v>7</v>
      </c>
      <c r="K16" s="847" t="s">
        <v>7</v>
      </c>
      <c r="L16" s="847" t="s">
        <v>7</v>
      </c>
      <c r="M16" s="273"/>
    </row>
    <row r="17" spans="1:13" s="227" customFormat="1" ht="27" customHeight="1" x14ac:dyDescent="0.2">
      <c r="A17" s="233">
        <v>9</v>
      </c>
      <c r="B17" s="173" t="s">
        <v>655</v>
      </c>
      <c r="C17" s="847" t="s">
        <v>7</v>
      </c>
      <c r="D17" s="847" t="s">
        <v>7</v>
      </c>
      <c r="E17" s="847" t="s">
        <v>7</v>
      </c>
      <c r="F17" s="847" t="s">
        <v>7</v>
      </c>
      <c r="G17" s="847" t="s">
        <v>7</v>
      </c>
      <c r="H17" s="847" t="s">
        <v>7</v>
      </c>
      <c r="I17" s="847" t="s">
        <v>7</v>
      </c>
      <c r="J17" s="847" t="s">
        <v>7</v>
      </c>
      <c r="K17" s="847" t="s">
        <v>7</v>
      </c>
      <c r="L17" s="847" t="s">
        <v>7</v>
      </c>
      <c r="M17" s="273"/>
    </row>
    <row r="18" spans="1:13" s="227" customFormat="1" ht="27" customHeight="1" x14ac:dyDescent="0.2">
      <c r="A18" s="233">
        <v>10</v>
      </c>
      <c r="B18" s="173" t="s">
        <v>656</v>
      </c>
      <c r="C18" s="867">
        <v>21</v>
      </c>
      <c r="D18" s="867">
        <v>1725</v>
      </c>
      <c r="E18" s="867">
        <v>25875</v>
      </c>
      <c r="F18" s="867">
        <v>21</v>
      </c>
      <c r="G18" s="867">
        <v>1725</v>
      </c>
      <c r="H18" s="870" t="s">
        <v>905</v>
      </c>
      <c r="I18" s="867">
        <v>17250</v>
      </c>
      <c r="J18" s="867"/>
      <c r="K18" s="118"/>
      <c r="L18" s="867"/>
      <c r="M18" s="273"/>
    </row>
    <row r="19" spans="1:13" s="227" customFormat="1" ht="27" customHeight="1" x14ac:dyDescent="0.2">
      <c r="A19" s="233">
        <v>11</v>
      </c>
      <c r="B19" s="173" t="s">
        <v>657</v>
      </c>
      <c r="C19" s="847" t="s">
        <v>7</v>
      </c>
      <c r="D19" s="847" t="s">
        <v>7</v>
      </c>
      <c r="E19" s="847" t="s">
        <v>7</v>
      </c>
      <c r="F19" s="847" t="s">
        <v>7</v>
      </c>
      <c r="G19" s="847" t="s">
        <v>7</v>
      </c>
      <c r="H19" s="847" t="s">
        <v>7</v>
      </c>
      <c r="I19" s="847" t="s">
        <v>7</v>
      </c>
      <c r="J19" s="847" t="s">
        <v>7</v>
      </c>
      <c r="K19" s="847" t="s">
        <v>7</v>
      </c>
      <c r="L19" s="847" t="s">
        <v>7</v>
      </c>
      <c r="M19" s="273"/>
    </row>
    <row r="20" spans="1:13" s="227" customFormat="1" ht="27" customHeight="1" x14ac:dyDescent="0.2">
      <c r="A20" s="233">
        <v>12</v>
      </c>
      <c r="B20" s="173" t="s">
        <v>658</v>
      </c>
      <c r="C20" s="847" t="s">
        <v>7</v>
      </c>
      <c r="D20" s="847" t="s">
        <v>7</v>
      </c>
      <c r="E20" s="847" t="s">
        <v>7</v>
      </c>
      <c r="F20" s="847" t="s">
        <v>7</v>
      </c>
      <c r="G20" s="847" t="s">
        <v>7</v>
      </c>
      <c r="H20" s="847" t="s">
        <v>7</v>
      </c>
      <c r="I20" s="847" t="s">
        <v>7</v>
      </c>
      <c r="J20" s="847" t="s">
        <v>7</v>
      </c>
      <c r="K20" s="847" t="s">
        <v>7</v>
      </c>
      <c r="L20" s="847" t="s">
        <v>7</v>
      </c>
      <c r="M20" s="273"/>
    </row>
    <row r="21" spans="1:13" s="227" customFormat="1" ht="27" customHeight="1" x14ac:dyDescent="0.2">
      <c r="A21" s="233">
        <v>13</v>
      </c>
      <c r="B21" s="173" t="s">
        <v>659</v>
      </c>
      <c r="C21" s="847" t="s">
        <v>7</v>
      </c>
      <c r="D21" s="847" t="s">
        <v>7</v>
      </c>
      <c r="E21" s="847" t="s">
        <v>7</v>
      </c>
      <c r="F21" s="847" t="s">
        <v>7</v>
      </c>
      <c r="G21" s="847" t="s">
        <v>7</v>
      </c>
      <c r="H21" s="847" t="s">
        <v>7</v>
      </c>
      <c r="I21" s="847" t="s">
        <v>7</v>
      </c>
      <c r="J21" s="847" t="s">
        <v>7</v>
      </c>
      <c r="K21" s="847" t="s">
        <v>7</v>
      </c>
      <c r="L21" s="847" t="s">
        <v>7</v>
      </c>
      <c r="M21" s="273"/>
    </row>
    <row r="22" spans="1:13" s="228" customFormat="1" ht="27" customHeight="1" x14ac:dyDescent="0.2">
      <c r="A22" s="1414" t="s">
        <v>660</v>
      </c>
      <c r="B22" s="1414"/>
      <c r="C22" s="868">
        <f>SUM(C9:C21)</f>
        <v>21</v>
      </c>
      <c r="D22" s="868">
        <f t="shared" ref="D22:L22" si="0">SUM(D9:D21)</f>
        <v>1725</v>
      </c>
      <c r="E22" s="868">
        <f t="shared" si="0"/>
        <v>25875</v>
      </c>
      <c r="F22" s="868">
        <f t="shared" si="0"/>
        <v>225</v>
      </c>
      <c r="G22" s="868">
        <f t="shared" si="0"/>
        <v>22762</v>
      </c>
      <c r="H22" s="847" t="s">
        <v>7</v>
      </c>
      <c r="I22" s="868">
        <f t="shared" si="0"/>
        <v>122435</v>
      </c>
      <c r="J22" s="868">
        <f t="shared" si="0"/>
        <v>0</v>
      </c>
      <c r="K22" s="868">
        <f t="shared" si="0"/>
        <v>0</v>
      </c>
      <c r="L22" s="868">
        <f t="shared" si="0"/>
        <v>0</v>
      </c>
      <c r="M22" s="845"/>
    </row>
    <row r="23" spans="1:13" s="228" customFormat="1" ht="19.5" customHeight="1" x14ac:dyDescent="0.2">
      <c r="A23" s="585"/>
      <c r="B23" s="585"/>
      <c r="C23" s="586"/>
      <c r="D23" s="586"/>
      <c r="E23" s="586"/>
      <c r="F23" s="586"/>
      <c r="G23" s="586"/>
      <c r="H23" s="232"/>
      <c r="I23" s="586"/>
      <c r="J23" s="586"/>
      <c r="K23" s="232"/>
      <c r="L23" s="586"/>
    </row>
    <row r="24" spans="1:13" s="227" customFormat="1" ht="15.75" customHeight="1" x14ac:dyDescent="0.2">
      <c r="A24" s="228"/>
      <c r="B24" s="228"/>
      <c r="C24" s="228"/>
      <c r="D24" s="228"/>
      <c r="E24" s="228"/>
      <c r="F24" s="228"/>
      <c r="G24" s="228"/>
      <c r="H24" s="228"/>
    </row>
    <row r="25" spans="1:13" s="227" customFormat="1" ht="60" customHeight="1" x14ac:dyDescent="0.2">
      <c r="A25" s="1332" t="s">
        <v>676</v>
      </c>
      <c r="B25" s="1332"/>
      <c r="C25" s="234"/>
      <c r="D25" s="235"/>
      <c r="E25" s="235"/>
      <c r="J25" s="1415" t="s">
        <v>646</v>
      </c>
      <c r="K25" s="1415"/>
      <c r="L25" s="1415"/>
    </row>
  </sheetData>
  <mergeCells count="12">
    <mergeCell ref="A22:B22"/>
    <mergeCell ref="A25:B25"/>
    <mergeCell ref="J25:L25"/>
    <mergeCell ref="A1:K1"/>
    <mergeCell ref="C6:E6"/>
    <mergeCell ref="F6:I6"/>
    <mergeCell ref="J6:L6"/>
    <mergeCell ref="A6:A7"/>
    <mergeCell ref="B6:B7"/>
    <mergeCell ref="A2:K2"/>
    <mergeCell ref="A4:K4"/>
    <mergeCell ref="J11:L11"/>
  </mergeCells>
  <printOptions horizontalCentered="1"/>
  <pageMargins left="0.70866141732283472" right="7.874015748031496E-2" top="0.59055118110236227" bottom="0.19685039370078741" header="7.874015748031496E-2" footer="7.874015748031496E-2"/>
  <pageSetup paperSize="9" scale="8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5" tint="0.59999389629810485"/>
    <pageSetUpPr fitToPage="1"/>
  </sheetPr>
  <dimension ref="A1:I24"/>
  <sheetViews>
    <sheetView view="pageBreakPreview" zoomScale="80" zoomScaleSheetLayoutView="80" workbookViewId="0">
      <selection activeCell="C32" sqref="C32"/>
    </sheetView>
  </sheetViews>
  <sheetFormatPr defaultRowHeight="12.75" x14ac:dyDescent="0.2"/>
  <cols>
    <col min="1" max="1" width="7.7109375" customWidth="1"/>
    <col min="2" max="2" width="15.42578125" customWidth="1"/>
    <col min="3" max="3" width="15.28515625" customWidth="1"/>
    <col min="4" max="5" width="15.42578125" customWidth="1"/>
    <col min="6" max="8" width="15.7109375" customWidth="1"/>
    <col min="9" max="9" width="14.28515625" customWidth="1"/>
  </cols>
  <sheetData>
    <row r="1" spans="1:9" ht="18" x14ac:dyDescent="0.35">
      <c r="A1" s="1420" t="s">
        <v>0</v>
      </c>
      <c r="B1" s="1420"/>
      <c r="C1" s="1420"/>
      <c r="D1" s="1420"/>
      <c r="E1" s="1420"/>
      <c r="F1" s="1420"/>
      <c r="G1" s="1420"/>
      <c r="H1" s="1420"/>
      <c r="I1" s="74" t="s">
        <v>509</v>
      </c>
    </row>
    <row r="2" spans="1:9" ht="21" x14ac:dyDescent="0.35">
      <c r="A2" s="1421" t="s">
        <v>793</v>
      </c>
      <c r="B2" s="1421"/>
      <c r="C2" s="1421"/>
      <c r="D2" s="1421"/>
      <c r="E2" s="1421"/>
      <c r="F2" s="1421"/>
      <c r="G2" s="1421"/>
      <c r="H2" s="1421"/>
    </row>
    <row r="3" spans="1:9" ht="15" x14ac:dyDescent="0.3">
      <c r="A3" s="68"/>
      <c r="B3" s="68"/>
      <c r="C3" s="68"/>
      <c r="D3" s="68"/>
      <c r="E3" s="68"/>
      <c r="F3" s="68"/>
      <c r="G3" s="68"/>
      <c r="H3" s="68"/>
    </row>
    <row r="4" spans="1:9" ht="18" x14ac:dyDescent="0.35">
      <c r="A4" s="1420" t="s">
        <v>508</v>
      </c>
      <c r="B4" s="1420"/>
      <c r="C4" s="1420"/>
      <c r="D4" s="1420"/>
      <c r="E4" s="1420"/>
      <c r="F4" s="1420"/>
      <c r="G4" s="1420"/>
      <c r="H4" s="1420"/>
    </row>
    <row r="5" spans="1:9" ht="15" x14ac:dyDescent="0.3">
      <c r="A5" s="69" t="s">
        <v>687</v>
      </c>
      <c r="B5" s="69"/>
      <c r="C5" s="69"/>
      <c r="D5" s="69"/>
      <c r="E5" s="69"/>
      <c r="F5" s="69"/>
      <c r="G5" s="69" t="s">
        <v>924</v>
      </c>
      <c r="H5" s="69"/>
    </row>
    <row r="6" spans="1:9" ht="21.75" customHeight="1" x14ac:dyDescent="0.2">
      <c r="A6" s="1486" t="s">
        <v>2</v>
      </c>
      <c r="B6" s="1486" t="s">
        <v>30</v>
      </c>
      <c r="C6" s="1464" t="s">
        <v>465</v>
      </c>
      <c r="D6" s="1489"/>
      <c r="E6" s="1465"/>
      <c r="F6" s="1464" t="s">
        <v>468</v>
      </c>
      <c r="G6" s="1489"/>
      <c r="H6" s="1465"/>
      <c r="I6" s="1212" t="s">
        <v>70</v>
      </c>
    </row>
    <row r="7" spans="1:9" ht="26.25" customHeight="1" x14ac:dyDescent="0.2">
      <c r="A7" s="1487"/>
      <c r="B7" s="1487"/>
      <c r="C7" s="610" t="s">
        <v>464</v>
      </c>
      <c r="D7" s="610" t="s">
        <v>466</v>
      </c>
      <c r="E7" s="610" t="s">
        <v>467</v>
      </c>
      <c r="F7" s="610" t="s">
        <v>464</v>
      </c>
      <c r="G7" s="610" t="s">
        <v>466</v>
      </c>
      <c r="H7" s="610" t="s">
        <v>467</v>
      </c>
      <c r="I7" s="1213"/>
    </row>
    <row r="8" spans="1:9" ht="15" x14ac:dyDescent="0.2">
      <c r="A8" s="692">
        <v>1</v>
      </c>
      <c r="B8" s="692">
        <v>2</v>
      </c>
      <c r="C8" s="692">
        <v>3</v>
      </c>
      <c r="D8" s="692">
        <v>4</v>
      </c>
      <c r="E8" s="692">
        <v>5</v>
      </c>
      <c r="F8" s="692">
        <v>6</v>
      </c>
      <c r="G8" s="692">
        <v>7</v>
      </c>
      <c r="H8" s="692">
        <v>8</v>
      </c>
      <c r="I8" s="692">
        <v>9</v>
      </c>
    </row>
    <row r="9" spans="1:9" s="227" customFormat="1" ht="21" customHeight="1" x14ac:dyDescent="0.2">
      <c r="A9" s="233">
        <v>1</v>
      </c>
      <c r="B9" s="173" t="s">
        <v>647</v>
      </c>
      <c r="C9" s="869" t="s">
        <v>7</v>
      </c>
      <c r="D9" s="869" t="s">
        <v>7</v>
      </c>
      <c r="E9" s="869" t="s">
        <v>7</v>
      </c>
      <c r="F9" s="869" t="s">
        <v>7</v>
      </c>
      <c r="G9" s="869" t="s">
        <v>7</v>
      </c>
      <c r="H9" s="900" t="s">
        <v>7</v>
      </c>
      <c r="I9" s="502"/>
    </row>
    <row r="10" spans="1:9" s="227" customFormat="1" ht="21" customHeight="1" x14ac:dyDescent="0.2">
      <c r="A10" s="233">
        <v>2</v>
      </c>
      <c r="B10" s="173" t="s">
        <v>648</v>
      </c>
      <c r="C10" s="869" t="s">
        <v>7</v>
      </c>
      <c r="D10" s="869" t="s">
        <v>7</v>
      </c>
      <c r="E10" s="869" t="s">
        <v>7</v>
      </c>
      <c r="F10" s="869" t="s">
        <v>7</v>
      </c>
      <c r="G10" s="869" t="s">
        <v>7</v>
      </c>
      <c r="H10" s="900" t="s">
        <v>7</v>
      </c>
      <c r="I10" s="932"/>
    </row>
    <row r="11" spans="1:9" s="227" customFormat="1" ht="21" customHeight="1" x14ac:dyDescent="0.2">
      <c r="A11" s="233">
        <v>3</v>
      </c>
      <c r="B11" s="173" t="s">
        <v>649</v>
      </c>
      <c r="C11" s="933">
        <v>1</v>
      </c>
      <c r="D11" s="933">
        <v>21</v>
      </c>
      <c r="E11" s="933">
        <v>21</v>
      </c>
      <c r="F11" s="933">
        <v>1</v>
      </c>
      <c r="G11" s="933">
        <v>21</v>
      </c>
      <c r="H11" s="862">
        <v>21</v>
      </c>
      <c r="I11" s="1039" t="s">
        <v>1003</v>
      </c>
    </row>
    <row r="12" spans="1:9" s="227" customFormat="1" ht="21" customHeight="1" x14ac:dyDescent="0.2">
      <c r="A12" s="233">
        <v>4</v>
      </c>
      <c r="B12" s="173" t="s">
        <v>650</v>
      </c>
      <c r="C12" s="933" t="s">
        <v>7</v>
      </c>
      <c r="D12" s="933" t="s">
        <v>7</v>
      </c>
      <c r="E12" s="933" t="s">
        <v>7</v>
      </c>
      <c r="F12" s="933" t="s">
        <v>7</v>
      </c>
      <c r="G12" s="933" t="s">
        <v>7</v>
      </c>
      <c r="H12" s="862" t="s">
        <v>7</v>
      </c>
      <c r="I12" s="932"/>
    </row>
    <row r="13" spans="1:9" s="227" customFormat="1" ht="21" customHeight="1" x14ac:dyDescent="0.2">
      <c r="A13" s="233">
        <v>5</v>
      </c>
      <c r="B13" s="173" t="s">
        <v>651</v>
      </c>
      <c r="C13" s="933" t="s">
        <v>7</v>
      </c>
      <c r="D13" s="933" t="s">
        <v>7</v>
      </c>
      <c r="E13" s="933" t="s">
        <v>7</v>
      </c>
      <c r="F13" s="933" t="s">
        <v>7</v>
      </c>
      <c r="G13" s="933" t="s">
        <v>7</v>
      </c>
      <c r="H13" s="862" t="s">
        <v>7</v>
      </c>
      <c r="I13" s="932"/>
    </row>
    <row r="14" spans="1:9" s="227" customFormat="1" ht="21" customHeight="1" x14ac:dyDescent="0.2">
      <c r="A14" s="233">
        <v>6</v>
      </c>
      <c r="B14" s="173" t="s">
        <v>652</v>
      </c>
      <c r="C14" s="933" t="s">
        <v>7</v>
      </c>
      <c r="D14" s="933" t="s">
        <v>7</v>
      </c>
      <c r="E14" s="933" t="s">
        <v>7</v>
      </c>
      <c r="F14" s="933" t="s">
        <v>7</v>
      </c>
      <c r="G14" s="933" t="s">
        <v>7</v>
      </c>
      <c r="H14" s="862" t="s">
        <v>7</v>
      </c>
      <c r="I14" s="932"/>
    </row>
    <row r="15" spans="1:9" s="227" customFormat="1" ht="21" customHeight="1" x14ac:dyDescent="0.2">
      <c r="A15" s="233">
        <v>7</v>
      </c>
      <c r="B15" s="173" t="s">
        <v>653</v>
      </c>
      <c r="C15" s="933" t="s">
        <v>7</v>
      </c>
      <c r="D15" s="933" t="s">
        <v>7</v>
      </c>
      <c r="E15" s="933" t="s">
        <v>7</v>
      </c>
      <c r="F15" s="933" t="s">
        <v>7</v>
      </c>
      <c r="G15" s="933" t="s">
        <v>7</v>
      </c>
      <c r="H15" s="862" t="s">
        <v>7</v>
      </c>
      <c r="I15" s="932"/>
    </row>
    <row r="16" spans="1:9" s="227" customFormat="1" ht="21" customHeight="1" x14ac:dyDescent="0.2">
      <c r="A16" s="233">
        <v>8</v>
      </c>
      <c r="B16" s="173" t="s">
        <v>654</v>
      </c>
      <c r="C16" s="933" t="s">
        <v>7</v>
      </c>
      <c r="D16" s="933" t="s">
        <v>7</v>
      </c>
      <c r="E16" s="933" t="s">
        <v>7</v>
      </c>
      <c r="F16" s="933" t="s">
        <v>7</v>
      </c>
      <c r="G16" s="933" t="s">
        <v>7</v>
      </c>
      <c r="H16" s="862" t="s">
        <v>7</v>
      </c>
      <c r="I16" s="932"/>
    </row>
    <row r="17" spans="1:9" s="227" customFormat="1" ht="21" customHeight="1" x14ac:dyDescent="0.2">
      <c r="A17" s="233">
        <v>9</v>
      </c>
      <c r="B17" s="173" t="s">
        <v>655</v>
      </c>
      <c r="C17" s="933" t="s">
        <v>7</v>
      </c>
      <c r="D17" s="933" t="s">
        <v>7</v>
      </c>
      <c r="E17" s="933" t="s">
        <v>7</v>
      </c>
      <c r="F17" s="933" t="s">
        <v>7</v>
      </c>
      <c r="G17" s="933" t="s">
        <v>7</v>
      </c>
      <c r="H17" s="862" t="s">
        <v>7</v>
      </c>
      <c r="I17" s="932"/>
    </row>
    <row r="18" spans="1:9" s="227" customFormat="1" ht="21" customHeight="1" x14ac:dyDescent="0.2">
      <c r="A18" s="233">
        <v>10</v>
      </c>
      <c r="B18" s="173" t="s">
        <v>656</v>
      </c>
      <c r="C18" s="933" t="s">
        <v>7</v>
      </c>
      <c r="D18" s="933" t="s">
        <v>7</v>
      </c>
      <c r="E18" s="933" t="s">
        <v>7</v>
      </c>
      <c r="F18" s="933" t="s">
        <v>7</v>
      </c>
      <c r="G18" s="933" t="s">
        <v>7</v>
      </c>
      <c r="H18" s="862" t="s">
        <v>7</v>
      </c>
      <c r="I18" s="932"/>
    </row>
    <row r="19" spans="1:9" s="227" customFormat="1" ht="21" customHeight="1" x14ac:dyDescent="0.2">
      <c r="A19" s="233">
        <v>11</v>
      </c>
      <c r="B19" s="173" t="s">
        <v>657</v>
      </c>
      <c r="C19" s="862">
        <v>8</v>
      </c>
      <c r="D19" s="862">
        <v>4</v>
      </c>
      <c r="E19" s="862">
        <v>603</v>
      </c>
      <c r="F19" s="862">
        <v>8</v>
      </c>
      <c r="G19" s="862">
        <v>4</v>
      </c>
      <c r="H19" s="862">
        <v>603</v>
      </c>
      <c r="I19" s="1039" t="s">
        <v>1002</v>
      </c>
    </row>
    <row r="20" spans="1:9" s="227" customFormat="1" ht="21" customHeight="1" x14ac:dyDescent="0.2">
      <c r="A20" s="233">
        <v>12</v>
      </c>
      <c r="B20" s="173" t="s">
        <v>658</v>
      </c>
      <c r="C20" s="933" t="s">
        <v>7</v>
      </c>
      <c r="D20" s="933" t="s">
        <v>7</v>
      </c>
      <c r="E20" s="933" t="s">
        <v>7</v>
      </c>
      <c r="F20" s="933" t="s">
        <v>7</v>
      </c>
      <c r="G20" s="933" t="s">
        <v>7</v>
      </c>
      <c r="H20" s="862" t="s">
        <v>7</v>
      </c>
      <c r="I20" s="932"/>
    </row>
    <row r="21" spans="1:9" s="227" customFormat="1" ht="21" customHeight="1" x14ac:dyDescent="0.2">
      <c r="A21" s="233">
        <v>13</v>
      </c>
      <c r="B21" s="173" t="s">
        <v>659</v>
      </c>
      <c r="C21" s="933" t="s">
        <v>7</v>
      </c>
      <c r="D21" s="933" t="s">
        <v>7</v>
      </c>
      <c r="E21" s="933" t="s">
        <v>7</v>
      </c>
      <c r="F21" s="933" t="s">
        <v>7</v>
      </c>
      <c r="G21" s="933" t="s">
        <v>7</v>
      </c>
      <c r="H21" s="862" t="s">
        <v>7</v>
      </c>
      <c r="I21" s="932"/>
    </row>
    <row r="22" spans="1:9" s="228" customFormat="1" ht="21" customHeight="1" x14ac:dyDescent="0.2">
      <c r="A22" s="1414" t="s">
        <v>660</v>
      </c>
      <c r="B22" s="1414"/>
      <c r="C22" s="934"/>
      <c r="D22" s="934"/>
      <c r="E22" s="934"/>
      <c r="F22" s="934"/>
      <c r="G22" s="934"/>
      <c r="H22" s="934"/>
      <c r="I22" s="932"/>
    </row>
    <row r="23" spans="1:9" s="227" customFormat="1" ht="15.75" customHeight="1" x14ac:dyDescent="0.2">
      <c r="A23" s="228"/>
      <c r="B23" s="228"/>
      <c r="C23" s="228"/>
      <c r="D23" s="228"/>
      <c r="E23" s="228"/>
      <c r="F23" s="228"/>
      <c r="G23" s="228"/>
      <c r="H23" s="228"/>
    </row>
    <row r="24" spans="1:9" s="227" customFormat="1" ht="60" customHeight="1" x14ac:dyDescent="0.2">
      <c r="A24" s="1332" t="s">
        <v>676</v>
      </c>
      <c r="B24" s="1332"/>
      <c r="C24" s="234"/>
      <c r="D24" s="235"/>
      <c r="E24" s="235"/>
      <c r="F24" s="1415" t="s">
        <v>646</v>
      </c>
      <c r="G24" s="1415"/>
      <c r="H24" s="1415"/>
    </row>
  </sheetData>
  <mergeCells count="11">
    <mergeCell ref="I6:I7"/>
    <mergeCell ref="A22:B22"/>
    <mergeCell ref="A24:B24"/>
    <mergeCell ref="F24:H24"/>
    <mergeCell ref="A1:H1"/>
    <mergeCell ref="A2:H2"/>
    <mergeCell ref="A4:H4"/>
    <mergeCell ref="A6:A7"/>
    <mergeCell ref="B6:B7"/>
    <mergeCell ref="C6:E6"/>
    <mergeCell ref="F6:H6"/>
  </mergeCells>
  <printOptions horizontalCentered="1"/>
  <pageMargins left="0.70866141732283472" right="7.874015748031496E-2" top="0.23622047244094491" bottom="0" header="7.874015748031496E-2" footer="7.874015748031496E-2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5" tint="0.59999389629810485"/>
  </sheetPr>
  <dimension ref="A1:L27"/>
  <sheetViews>
    <sheetView view="pageBreakPreview" topLeftCell="A7" zoomScale="73" zoomScaleNormal="85" zoomScaleSheetLayoutView="73" workbookViewId="0">
      <selection activeCell="C32" sqref="C32"/>
    </sheetView>
  </sheetViews>
  <sheetFormatPr defaultRowHeight="12.75" x14ac:dyDescent="0.2"/>
  <cols>
    <col min="1" max="1" width="7.42578125" customWidth="1"/>
    <col min="2" max="2" width="17" customWidth="1"/>
    <col min="3" max="3" width="12.5703125" customWidth="1"/>
    <col min="4" max="4" width="11.28515625" customWidth="1"/>
    <col min="5" max="5" width="9.7109375" customWidth="1"/>
    <col min="6" max="6" width="17" customWidth="1"/>
    <col min="7" max="7" width="11.85546875" customWidth="1"/>
    <col min="8" max="8" width="14.7109375" customWidth="1"/>
    <col min="9" max="9" width="12.7109375" customWidth="1"/>
    <col min="10" max="10" width="14.140625" customWidth="1"/>
    <col min="11" max="11" width="10.42578125" customWidth="1"/>
    <col min="12" max="12" width="13" customWidth="1"/>
  </cols>
  <sheetData>
    <row r="1" spans="1:12" ht="15" x14ac:dyDescent="0.2">
      <c r="A1" s="132"/>
      <c r="B1" s="37"/>
      <c r="C1" s="37"/>
      <c r="D1" s="37"/>
      <c r="E1" s="37"/>
      <c r="F1" s="37"/>
      <c r="G1" s="37"/>
      <c r="H1" s="37"/>
      <c r="K1" s="1203" t="s">
        <v>78</v>
      </c>
      <c r="L1" s="1203"/>
    </row>
    <row r="2" spans="1:12" ht="15.75" x14ac:dyDescent="0.25">
      <c r="A2" s="1498" t="s">
        <v>0</v>
      </c>
      <c r="B2" s="1498"/>
      <c r="C2" s="1498"/>
      <c r="D2" s="1498"/>
      <c r="E2" s="1498"/>
      <c r="F2" s="1498"/>
      <c r="G2" s="1498"/>
      <c r="H2" s="1498"/>
      <c r="I2" s="37"/>
      <c r="J2" s="37"/>
      <c r="K2" s="37"/>
      <c r="L2" s="37"/>
    </row>
    <row r="3" spans="1:12" ht="20.25" x14ac:dyDescent="0.3">
      <c r="A3" s="1182" t="s">
        <v>793</v>
      </c>
      <c r="B3" s="1182"/>
      <c r="C3" s="1182"/>
      <c r="D3" s="1182"/>
      <c r="E3" s="1182"/>
      <c r="F3" s="1182"/>
      <c r="G3" s="1182"/>
      <c r="H3" s="1182"/>
      <c r="I3" s="37"/>
      <c r="J3" s="37"/>
      <c r="K3" s="37"/>
      <c r="L3" s="37"/>
    </row>
    <row r="4" spans="1:12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.75" x14ac:dyDescent="0.25">
      <c r="A5" s="1183" t="s">
        <v>849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</row>
    <row r="6" spans="1:12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8" x14ac:dyDescent="0.25">
      <c r="A7" s="609" t="s">
        <v>687</v>
      </c>
      <c r="B7" s="40"/>
      <c r="C7" s="37"/>
      <c r="D7" s="37"/>
      <c r="E7" s="37"/>
      <c r="F7" s="37"/>
      <c r="G7" s="37"/>
      <c r="H7" s="37"/>
      <c r="I7" s="49"/>
      <c r="J7" s="49" t="s">
        <v>924</v>
      </c>
      <c r="L7" s="37"/>
    </row>
    <row r="8" spans="1:12" s="594" customFormat="1" ht="48.75" customHeight="1" x14ac:dyDescent="0.2">
      <c r="A8" s="1496" t="s">
        <v>853</v>
      </c>
      <c r="B8" s="1496" t="s">
        <v>202</v>
      </c>
      <c r="C8" s="1404" t="s">
        <v>472</v>
      </c>
      <c r="D8" s="1404" t="s">
        <v>473</v>
      </c>
      <c r="E8" s="1404" t="s">
        <v>474</v>
      </c>
      <c r="F8" s="1404"/>
      <c r="G8" s="1404" t="s">
        <v>431</v>
      </c>
      <c r="H8" s="1404"/>
      <c r="I8" s="1404" t="s">
        <v>212</v>
      </c>
      <c r="J8" s="1404"/>
      <c r="K8" s="1496" t="s">
        <v>213</v>
      </c>
      <c r="L8" s="1496"/>
    </row>
    <row r="9" spans="1:12" s="594" customFormat="1" ht="40.5" x14ac:dyDescent="0.2">
      <c r="A9" s="1497"/>
      <c r="B9" s="1497"/>
      <c r="C9" s="1404"/>
      <c r="D9" s="1404"/>
      <c r="E9" s="990" t="s">
        <v>201</v>
      </c>
      <c r="F9" s="990" t="s">
        <v>183</v>
      </c>
      <c r="G9" s="990" t="s">
        <v>201</v>
      </c>
      <c r="H9" s="990" t="s">
        <v>183</v>
      </c>
      <c r="I9" s="990" t="s">
        <v>201</v>
      </c>
      <c r="J9" s="990" t="s">
        <v>183</v>
      </c>
      <c r="K9" s="990" t="s">
        <v>201</v>
      </c>
      <c r="L9" s="990" t="s">
        <v>183</v>
      </c>
    </row>
    <row r="10" spans="1:12" s="596" customFormat="1" ht="15" x14ac:dyDescent="0.2">
      <c r="A10" s="595">
        <v>1</v>
      </c>
      <c r="B10" s="595">
        <v>2</v>
      </c>
      <c r="C10" s="595">
        <v>3</v>
      </c>
      <c r="D10" s="595">
        <v>4</v>
      </c>
      <c r="E10" s="595">
        <v>5</v>
      </c>
      <c r="F10" s="595">
        <v>6</v>
      </c>
      <c r="G10" s="595">
        <v>7</v>
      </c>
      <c r="H10" s="595">
        <v>8</v>
      </c>
      <c r="I10" s="595">
        <v>9</v>
      </c>
      <c r="J10" s="595">
        <v>10</v>
      </c>
      <c r="K10" s="595">
        <v>11</v>
      </c>
      <c r="L10" s="595">
        <v>12</v>
      </c>
    </row>
    <row r="11" spans="1:12" s="587" customFormat="1" ht="21.75" customHeight="1" x14ac:dyDescent="0.25">
      <c r="A11" s="491">
        <v>1</v>
      </c>
      <c r="B11" s="537" t="s">
        <v>647</v>
      </c>
      <c r="C11" s="597">
        <f>'AT-3'!G9</f>
        <v>3154</v>
      </c>
      <c r="D11" s="597">
        <f>'enrolment vs availed_PY'!G11+'enrolment vs availed_UPY'!G11</f>
        <v>183698</v>
      </c>
      <c r="E11" s="286">
        <f>C11</f>
        <v>3154</v>
      </c>
      <c r="F11" s="286">
        <v>170786</v>
      </c>
      <c r="G11" s="286">
        <v>3154</v>
      </c>
      <c r="H11" s="286">
        <v>154780</v>
      </c>
      <c r="I11" s="286">
        <v>3154</v>
      </c>
      <c r="J11" s="286">
        <v>152712</v>
      </c>
      <c r="K11" s="286">
        <v>103</v>
      </c>
      <c r="L11" s="286">
        <v>1276</v>
      </c>
    </row>
    <row r="12" spans="1:12" s="587" customFormat="1" ht="21.75" customHeight="1" x14ac:dyDescent="0.25">
      <c r="A12" s="491">
        <v>2</v>
      </c>
      <c r="B12" s="537" t="s">
        <v>648</v>
      </c>
      <c r="C12" s="597">
        <f>'AT-3'!G10</f>
        <v>2701</v>
      </c>
      <c r="D12" s="597">
        <f>'enrolment vs availed_PY'!G12+'enrolment vs availed_UPY'!G12</f>
        <v>152128</v>
      </c>
      <c r="E12" s="286">
        <f t="shared" ref="E12:E23" si="0">C12</f>
        <v>2701</v>
      </c>
      <c r="F12" s="597">
        <v>152128.00000000006</v>
      </c>
      <c r="G12" s="597">
        <v>2701</v>
      </c>
      <c r="H12" s="597">
        <v>152128.00000000006</v>
      </c>
      <c r="I12" s="597">
        <v>2701</v>
      </c>
      <c r="J12" s="597">
        <v>152128.00000000006</v>
      </c>
      <c r="K12" s="597">
        <v>2701</v>
      </c>
      <c r="L12" s="597">
        <v>30724</v>
      </c>
    </row>
    <row r="13" spans="1:12" s="587" customFormat="1" ht="21.75" customHeight="1" x14ac:dyDescent="0.25">
      <c r="A13" s="491">
        <v>3</v>
      </c>
      <c r="B13" s="588" t="s">
        <v>649</v>
      </c>
      <c r="C13" s="597">
        <f>'AT-3'!G11</f>
        <v>3863</v>
      </c>
      <c r="D13" s="597">
        <f>'enrolment vs availed_PY'!G13+'enrolment vs availed_UPY'!G13</f>
        <v>211309</v>
      </c>
      <c r="E13" s="286">
        <f t="shared" si="0"/>
        <v>3863</v>
      </c>
      <c r="F13" s="597">
        <v>181610.54688127141</v>
      </c>
      <c r="G13" s="597">
        <v>6109.4565105506954</v>
      </c>
      <c r="H13" s="597">
        <v>176900.22080959537</v>
      </c>
      <c r="I13" s="597">
        <v>6185.1821924858468</v>
      </c>
      <c r="J13" s="597">
        <v>179665.86325709237</v>
      </c>
      <c r="K13" s="597">
        <v>4148.0211013896042</v>
      </c>
      <c r="L13" s="597">
        <v>0</v>
      </c>
    </row>
    <row r="14" spans="1:12" s="587" customFormat="1" ht="21.75" customHeight="1" x14ac:dyDescent="0.25">
      <c r="A14" s="491">
        <v>4</v>
      </c>
      <c r="B14" s="588" t="s">
        <v>650</v>
      </c>
      <c r="C14" s="597">
        <f>'AT-3'!G12</f>
        <v>4264</v>
      </c>
      <c r="D14" s="597">
        <f>'enrolment vs availed_PY'!G14+'enrolment vs availed_UPY'!G14</f>
        <v>295562</v>
      </c>
      <c r="E14" s="286">
        <f t="shared" si="0"/>
        <v>4264</v>
      </c>
      <c r="F14" s="597">
        <v>289286.2</v>
      </c>
      <c r="G14" s="597">
        <v>3858</v>
      </c>
      <c r="H14" s="597">
        <v>276869.59999999998</v>
      </c>
      <c r="I14" s="597">
        <v>4021</v>
      </c>
      <c r="J14" s="597">
        <v>312199.2</v>
      </c>
      <c r="K14" s="597">
        <v>2474</v>
      </c>
      <c r="L14" s="597">
        <v>47138</v>
      </c>
    </row>
    <row r="15" spans="1:12" s="587" customFormat="1" ht="21.75" customHeight="1" x14ac:dyDescent="0.25">
      <c r="A15" s="491">
        <v>5</v>
      </c>
      <c r="B15" s="537" t="s">
        <v>651</v>
      </c>
      <c r="C15" s="597">
        <f>'AT-3'!G13</f>
        <v>3242</v>
      </c>
      <c r="D15" s="597">
        <f>'enrolment vs availed_PY'!G15+'enrolment vs availed_UPY'!G15</f>
        <v>225203</v>
      </c>
      <c r="E15" s="286">
        <f t="shared" si="0"/>
        <v>3242</v>
      </c>
      <c r="F15" s="597">
        <v>172888</v>
      </c>
      <c r="G15" s="597">
        <v>2471</v>
      </c>
      <c r="H15" s="597">
        <v>142141</v>
      </c>
      <c r="I15" s="597">
        <v>2841</v>
      </c>
      <c r="J15" s="597">
        <v>178412</v>
      </c>
      <c r="K15" s="597">
        <v>874</v>
      </c>
      <c r="L15" s="597">
        <v>1472</v>
      </c>
    </row>
    <row r="16" spans="1:12" s="587" customFormat="1" ht="21.75" customHeight="1" x14ac:dyDescent="0.25">
      <c r="A16" s="491">
        <v>6</v>
      </c>
      <c r="B16" s="537" t="s">
        <v>652</v>
      </c>
      <c r="C16" s="597">
        <f>'AT-3'!G14</f>
        <v>3120</v>
      </c>
      <c r="D16" s="597">
        <f>'enrolment vs availed_PY'!G16+'enrolment vs availed_UPY'!G16</f>
        <v>213907</v>
      </c>
      <c r="E16" s="286">
        <f t="shared" si="0"/>
        <v>3120</v>
      </c>
      <c r="F16" s="597">
        <v>199919</v>
      </c>
      <c r="G16" s="597">
        <v>3124</v>
      </c>
      <c r="H16" s="597">
        <v>199919</v>
      </c>
      <c r="I16" s="597">
        <v>3124</v>
      </c>
      <c r="J16" s="597">
        <v>199919</v>
      </c>
      <c r="K16" s="597">
        <v>22</v>
      </c>
      <c r="L16" s="597">
        <v>280</v>
      </c>
    </row>
    <row r="17" spans="1:12" s="587" customFormat="1" ht="21.75" customHeight="1" x14ac:dyDescent="0.25">
      <c r="A17" s="491">
        <v>7</v>
      </c>
      <c r="B17" s="537" t="s">
        <v>653</v>
      </c>
      <c r="C17" s="597">
        <f>'AT-3'!G15</f>
        <v>3497</v>
      </c>
      <c r="D17" s="597">
        <f>'enrolment vs availed_PY'!G17+'enrolment vs availed_UPY'!G17</f>
        <v>265614</v>
      </c>
      <c r="E17" s="286">
        <f t="shared" si="0"/>
        <v>3497</v>
      </c>
      <c r="F17" s="597">
        <v>128521</v>
      </c>
      <c r="G17" s="597">
        <f>C17</f>
        <v>3497</v>
      </c>
      <c r="H17" s="597">
        <v>105147</v>
      </c>
      <c r="I17" s="597">
        <f>G17</f>
        <v>3497</v>
      </c>
      <c r="J17" s="597">
        <v>58741</v>
      </c>
      <c r="K17" s="597">
        <f>I17</f>
        <v>3497</v>
      </c>
      <c r="L17" s="597">
        <v>0</v>
      </c>
    </row>
    <row r="18" spans="1:12" s="587" customFormat="1" ht="21.75" customHeight="1" x14ac:dyDescent="0.25">
      <c r="A18" s="491">
        <v>8</v>
      </c>
      <c r="B18" s="537" t="s">
        <v>654</v>
      </c>
      <c r="C18" s="597">
        <f>'AT-3'!G16</f>
        <v>3367</v>
      </c>
      <c r="D18" s="597">
        <f>'enrolment vs availed_PY'!G18+'enrolment vs availed_UPY'!G18</f>
        <v>219034</v>
      </c>
      <c r="E18" s="286">
        <f t="shared" si="0"/>
        <v>3367</v>
      </c>
      <c r="F18" s="597">
        <v>205774.02000000002</v>
      </c>
      <c r="G18" s="597">
        <v>2502</v>
      </c>
      <c r="H18" s="597">
        <v>190531.5</v>
      </c>
      <c r="I18" s="597">
        <v>1836</v>
      </c>
      <c r="J18" s="597">
        <v>138261</v>
      </c>
      <c r="K18" s="597">
        <v>0</v>
      </c>
      <c r="L18" s="597">
        <v>0</v>
      </c>
    </row>
    <row r="19" spans="1:12" s="587" customFormat="1" ht="21.75" customHeight="1" x14ac:dyDescent="0.25">
      <c r="A19" s="491">
        <v>9</v>
      </c>
      <c r="B19" s="588" t="s">
        <v>655</v>
      </c>
      <c r="C19" s="597">
        <f>'AT-3'!G17</f>
        <v>3425</v>
      </c>
      <c r="D19" s="597">
        <v>187265</v>
      </c>
      <c r="E19" s="286">
        <f t="shared" si="0"/>
        <v>3425</v>
      </c>
      <c r="F19" s="597">
        <v>187567</v>
      </c>
      <c r="G19" s="597">
        <v>2147</v>
      </c>
      <c r="H19" s="597">
        <v>78541</v>
      </c>
      <c r="I19" s="597">
        <v>3425</v>
      </c>
      <c r="J19" s="597">
        <v>187567</v>
      </c>
      <c r="K19" s="597">
        <v>0</v>
      </c>
      <c r="L19" s="597">
        <v>0</v>
      </c>
    </row>
    <row r="20" spans="1:12" s="587" customFormat="1" ht="21.75" customHeight="1" x14ac:dyDescent="0.25">
      <c r="A20" s="491">
        <v>10</v>
      </c>
      <c r="B20" s="588" t="s">
        <v>656</v>
      </c>
      <c r="C20" s="597">
        <f>'AT-3'!G18</f>
        <v>4816</v>
      </c>
      <c r="D20" s="597">
        <f>'enrolment vs availed_PY'!G20+'enrolment vs availed_UPY'!G20</f>
        <v>258851</v>
      </c>
      <c r="E20" s="286">
        <f t="shared" si="0"/>
        <v>4816</v>
      </c>
      <c r="F20" s="597">
        <v>255410</v>
      </c>
      <c r="G20" s="597">
        <v>4817</v>
      </c>
      <c r="H20" s="597">
        <v>255410</v>
      </c>
      <c r="I20" s="597">
        <v>4646</v>
      </c>
      <c r="J20" s="597">
        <v>250653</v>
      </c>
      <c r="K20" s="597">
        <v>149</v>
      </c>
      <c r="L20" s="597">
        <v>1681</v>
      </c>
    </row>
    <row r="21" spans="1:12" s="589" customFormat="1" ht="21.75" customHeight="1" x14ac:dyDescent="0.25">
      <c r="A21" s="490">
        <v>11</v>
      </c>
      <c r="B21" s="588" t="s">
        <v>657</v>
      </c>
      <c r="C21" s="597">
        <f>'AT-3'!G19</f>
        <v>3369</v>
      </c>
      <c r="D21" s="597">
        <f>'enrolment vs availed_PY'!G21+'enrolment vs availed_UPY'!G21</f>
        <v>183529</v>
      </c>
      <c r="E21" s="286">
        <f t="shared" si="0"/>
        <v>3369</v>
      </c>
      <c r="F21" s="286">
        <v>167873</v>
      </c>
      <c r="G21" s="286">
        <v>2820</v>
      </c>
      <c r="H21" s="286">
        <v>154443</v>
      </c>
      <c r="I21" s="286">
        <v>3199</v>
      </c>
      <c r="J21" s="286">
        <v>175172</v>
      </c>
      <c r="K21" s="286">
        <v>0</v>
      </c>
      <c r="L21" s="286">
        <v>0</v>
      </c>
    </row>
    <row r="22" spans="1:12" s="587" customFormat="1" ht="21.75" customHeight="1" x14ac:dyDescent="0.25">
      <c r="A22" s="491">
        <v>12</v>
      </c>
      <c r="B22" s="588" t="s">
        <v>658</v>
      </c>
      <c r="C22" s="597">
        <f>'AT-3'!G20</f>
        <v>3818</v>
      </c>
      <c r="D22" s="597">
        <f>'enrolment vs availed_PY'!G22+'enrolment vs availed_UPY'!G22</f>
        <v>245199</v>
      </c>
      <c r="E22" s="286">
        <f t="shared" si="0"/>
        <v>3818</v>
      </c>
      <c r="F22" s="597">
        <v>284510</v>
      </c>
      <c r="G22" s="597">
        <v>0</v>
      </c>
      <c r="H22" s="597">
        <v>0</v>
      </c>
      <c r="I22" s="597">
        <v>3752</v>
      </c>
      <c r="J22" s="597">
        <v>284510</v>
      </c>
      <c r="K22" s="597">
        <v>0</v>
      </c>
      <c r="L22" s="597">
        <v>0</v>
      </c>
    </row>
    <row r="23" spans="1:12" s="587" customFormat="1" ht="21.75" customHeight="1" x14ac:dyDescent="0.25">
      <c r="A23" s="491">
        <v>13</v>
      </c>
      <c r="B23" s="537" t="s">
        <v>659</v>
      </c>
      <c r="C23" s="597">
        <f>'AT-3'!G21</f>
        <v>2869</v>
      </c>
      <c r="D23" s="597">
        <f>'enrolment vs availed_PY'!G23+'enrolment vs availed_UPY'!G23</f>
        <v>320942</v>
      </c>
      <c r="E23" s="286">
        <f t="shared" si="0"/>
        <v>2869</v>
      </c>
      <c r="F23" s="597">
        <v>310823</v>
      </c>
      <c r="G23" s="597">
        <v>5353</v>
      </c>
      <c r="H23" s="597">
        <v>304500</v>
      </c>
      <c r="I23" s="597">
        <v>2884</v>
      </c>
      <c r="J23" s="597">
        <v>311536</v>
      </c>
      <c r="K23" s="597">
        <v>881</v>
      </c>
      <c r="L23" s="597">
        <v>38110</v>
      </c>
    </row>
    <row r="24" spans="1:12" s="591" customFormat="1" ht="21.75" customHeight="1" x14ac:dyDescent="0.3">
      <c r="A24" s="1494" t="s">
        <v>13</v>
      </c>
      <c r="B24" s="1495"/>
      <c r="C24" s="590">
        <f t="shared" ref="C24:D24" si="1">SUM(C11:C23)</f>
        <v>45505</v>
      </c>
      <c r="D24" s="590">
        <f t="shared" si="1"/>
        <v>2962241</v>
      </c>
      <c r="E24" s="590">
        <f>SUM(E11:E23)</f>
        <v>45505</v>
      </c>
      <c r="F24" s="590">
        <f>SUM(F11:F23)</f>
        <v>2707095.7668812713</v>
      </c>
      <c r="G24" s="590">
        <f t="shared" ref="G24:L24" si="2">SUM(G11:G23)</f>
        <v>42553.456510550692</v>
      </c>
      <c r="H24" s="590">
        <f t="shared" si="2"/>
        <v>2191310.3208095953</v>
      </c>
      <c r="I24" s="590">
        <f t="shared" si="2"/>
        <v>45265.182192485845</v>
      </c>
      <c r="J24" s="590">
        <f t="shared" si="2"/>
        <v>2581476.0632570926</v>
      </c>
      <c r="K24" s="590">
        <f t="shared" si="2"/>
        <v>14849.021101389604</v>
      </c>
      <c r="L24" s="590">
        <f t="shared" si="2"/>
        <v>120681</v>
      </c>
    </row>
    <row r="25" spans="1:12" s="442" customFormat="1" ht="13.5" x14ac:dyDescent="0.25"/>
    <row r="26" spans="1:12" s="442" customFormat="1" ht="13.5" x14ac:dyDescent="0.25"/>
    <row r="27" spans="1:12" s="442" customFormat="1" ht="67.5" customHeight="1" x14ac:dyDescent="0.25">
      <c r="A27" s="128" t="s">
        <v>682</v>
      </c>
      <c r="B27" s="89"/>
      <c r="C27" s="592"/>
      <c r="D27" s="592"/>
      <c r="E27" s="592"/>
      <c r="F27" s="592"/>
      <c r="G27" s="592"/>
      <c r="H27" s="593"/>
      <c r="I27" s="1493" t="s">
        <v>688</v>
      </c>
      <c r="J27" s="1493"/>
      <c r="K27" s="1493"/>
      <c r="L27" s="1493"/>
    </row>
  </sheetData>
  <mergeCells count="14">
    <mergeCell ref="I27:L27"/>
    <mergeCell ref="A24:B24"/>
    <mergeCell ref="K1:L1"/>
    <mergeCell ref="G8:H8"/>
    <mergeCell ref="D8:D9"/>
    <mergeCell ref="E8:F8"/>
    <mergeCell ref="I8:J8"/>
    <mergeCell ref="K8:L8"/>
    <mergeCell ref="B8:B9"/>
    <mergeCell ref="A8:A9"/>
    <mergeCell ref="C8:C9"/>
    <mergeCell ref="A2:H2"/>
    <mergeCell ref="A3:H3"/>
    <mergeCell ref="A5:L5"/>
  </mergeCells>
  <printOptions horizontalCentered="1"/>
  <pageMargins left="0.62992125984251968" right="7.874015748031496E-2" top="0.19685039370078741" bottom="7.874015748031496E-2" header="7.874015748031496E-2" footer="7.874015748031496E-2"/>
  <pageSetup paperSize="9" scale="9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5" tint="0.59999389629810485"/>
    <pageSetUpPr fitToPage="1"/>
  </sheetPr>
  <dimension ref="A1:H26"/>
  <sheetViews>
    <sheetView view="pageBreakPreview" topLeftCell="A2" zoomScaleSheetLayoutView="100" workbookViewId="0">
      <selection activeCell="A21" sqref="A21"/>
    </sheetView>
  </sheetViews>
  <sheetFormatPr defaultColWidth="8.85546875" defaultRowHeight="12.75" x14ac:dyDescent="0.2"/>
  <cols>
    <col min="1" max="1" width="11.140625" style="37" customWidth="1"/>
    <col min="2" max="2" width="19.140625" style="37" customWidth="1"/>
    <col min="3" max="3" width="20.5703125" style="37" customWidth="1"/>
    <col min="4" max="4" width="22.28515625" style="37" customWidth="1"/>
    <col min="5" max="5" width="25.42578125" style="37" customWidth="1"/>
    <col min="6" max="6" width="27.42578125" style="37" customWidth="1"/>
    <col min="7" max="16384" width="8.85546875" style="37"/>
  </cols>
  <sheetData>
    <row r="1" spans="1:8" ht="12.75" customHeight="1" x14ac:dyDescent="0.2">
      <c r="D1" s="83"/>
      <c r="E1" s="83"/>
      <c r="F1" s="84" t="s">
        <v>90</v>
      </c>
    </row>
    <row r="2" spans="1:8" ht="15" customHeight="1" x14ac:dyDescent="0.25">
      <c r="B2" s="1498" t="s">
        <v>0</v>
      </c>
      <c r="C2" s="1498"/>
      <c r="D2" s="1498"/>
      <c r="E2" s="1498"/>
      <c r="F2" s="1498"/>
    </row>
    <row r="3" spans="1:8" ht="20.25" x14ac:dyDescent="0.3">
      <c r="B3" s="1182" t="s">
        <v>493</v>
      </c>
      <c r="C3" s="1182"/>
      <c r="D3" s="1182"/>
      <c r="E3" s="1182"/>
      <c r="F3" s="1182"/>
    </row>
    <row r="4" spans="1:8" ht="11.25" customHeight="1" x14ac:dyDescent="0.2"/>
    <row r="5" spans="1:8" x14ac:dyDescent="0.2">
      <c r="A5" s="1499" t="s">
        <v>428</v>
      </c>
      <c r="B5" s="1499"/>
      <c r="C5" s="1499"/>
      <c r="D5" s="1499"/>
      <c r="E5" s="1499"/>
      <c r="F5" s="1499"/>
    </row>
    <row r="6" spans="1:8" ht="8.4499999999999993" customHeight="1" x14ac:dyDescent="0.25">
      <c r="A6" s="39"/>
      <c r="B6" s="39"/>
      <c r="C6" s="39"/>
      <c r="D6" s="39"/>
      <c r="E6" s="39"/>
      <c r="F6" s="39"/>
    </row>
    <row r="7" spans="1:8" ht="18" customHeight="1" x14ac:dyDescent="0.2">
      <c r="A7" s="1198" t="s">
        <v>661</v>
      </c>
      <c r="B7" s="1198"/>
      <c r="F7" s="37" t="s">
        <v>951</v>
      </c>
    </row>
    <row r="8" spans="1:8" ht="18" hidden="1" customHeight="1" x14ac:dyDescent="0.25">
      <c r="A8" s="40" t="s">
        <v>1</v>
      </c>
    </row>
    <row r="9" spans="1:8" ht="30.6" customHeight="1" x14ac:dyDescent="0.2">
      <c r="A9" s="1496" t="s">
        <v>2</v>
      </c>
      <c r="B9" s="1496" t="s">
        <v>3</v>
      </c>
      <c r="C9" s="1500" t="s">
        <v>424</v>
      </c>
      <c r="D9" s="1500"/>
      <c r="E9" s="1500" t="s">
        <v>427</v>
      </c>
      <c r="F9" s="1500"/>
    </row>
    <row r="10" spans="1:8" s="44" customFormat="1" ht="30" x14ac:dyDescent="0.2">
      <c r="A10" s="1496"/>
      <c r="B10" s="1496"/>
      <c r="C10" s="595" t="s">
        <v>425</v>
      </c>
      <c r="D10" s="595" t="s">
        <v>426</v>
      </c>
      <c r="E10" s="595" t="s">
        <v>425</v>
      </c>
      <c r="F10" s="595" t="s">
        <v>426</v>
      </c>
    </row>
    <row r="11" spans="1:8" s="227" customFormat="1" ht="21" customHeight="1" x14ac:dyDescent="0.2">
      <c r="A11" s="233">
        <v>1</v>
      </c>
      <c r="B11" s="173" t="s">
        <v>647</v>
      </c>
      <c r="C11" s="981">
        <f>'AT3A_cvrg(Insti)_PY'!L12-'AT3A_cvrg(Insti)_PY'!J12</f>
        <v>2350</v>
      </c>
      <c r="D11" s="981">
        <f>C11</f>
        <v>2350</v>
      </c>
      <c r="E11" s="981">
        <f>'AT3B_cvrg(Insti)_UPY '!L11+'AT3C_cvrg(Insti)_UPY '!L11</f>
        <v>804</v>
      </c>
      <c r="F11" s="981">
        <f>E11</f>
        <v>804</v>
      </c>
    </row>
    <row r="12" spans="1:8" s="227" customFormat="1" ht="21" customHeight="1" x14ac:dyDescent="0.2">
      <c r="A12" s="233">
        <v>2</v>
      </c>
      <c r="B12" s="173" t="s">
        <v>648</v>
      </c>
      <c r="C12" s="981">
        <f>'AT3A_cvrg(Insti)_PY'!L13-'AT3A_cvrg(Insti)_PY'!J13</f>
        <v>2196</v>
      </c>
      <c r="D12" s="981">
        <f t="shared" ref="D12:D23" si="0">C12</f>
        <v>2196</v>
      </c>
      <c r="E12" s="981">
        <f>'AT3B_cvrg(Insti)_UPY '!L12+'AT3C_cvrg(Insti)_UPY '!L12</f>
        <v>505</v>
      </c>
      <c r="F12" s="981">
        <f t="shared" ref="F12:F23" si="1">E12</f>
        <v>505</v>
      </c>
    </row>
    <row r="13" spans="1:8" s="227" customFormat="1" ht="21" customHeight="1" x14ac:dyDescent="0.2">
      <c r="A13" s="233">
        <v>3</v>
      </c>
      <c r="B13" s="173" t="s">
        <v>649</v>
      </c>
      <c r="C13" s="981">
        <f>'AT3A_cvrg(Insti)_PY'!L14-'AT3A_cvrg(Insti)_PY'!J14</f>
        <v>3230</v>
      </c>
      <c r="D13" s="981">
        <f t="shared" si="0"/>
        <v>3230</v>
      </c>
      <c r="E13" s="981">
        <f>'AT3B_cvrg(Insti)_UPY '!L13+'AT3C_cvrg(Insti)_UPY '!L13</f>
        <v>633</v>
      </c>
      <c r="F13" s="981">
        <f t="shared" si="1"/>
        <v>633</v>
      </c>
    </row>
    <row r="14" spans="1:8" s="227" customFormat="1" ht="21" customHeight="1" x14ac:dyDescent="0.2">
      <c r="A14" s="233">
        <v>4</v>
      </c>
      <c r="B14" s="173" t="s">
        <v>650</v>
      </c>
      <c r="C14" s="981">
        <f>'AT3A_cvrg(Insti)_PY'!L15-'AT3A_cvrg(Insti)_PY'!J15</f>
        <v>3309</v>
      </c>
      <c r="D14" s="981">
        <f t="shared" si="0"/>
        <v>3309</v>
      </c>
      <c r="E14" s="981">
        <f>'AT3B_cvrg(Insti)_UPY '!L14+'AT3C_cvrg(Insti)_UPY '!L14</f>
        <v>955</v>
      </c>
      <c r="F14" s="981">
        <f t="shared" si="1"/>
        <v>955</v>
      </c>
    </row>
    <row r="15" spans="1:8" s="227" customFormat="1" ht="21" customHeight="1" x14ac:dyDescent="0.2">
      <c r="A15" s="233">
        <v>5</v>
      </c>
      <c r="B15" s="173" t="s">
        <v>651</v>
      </c>
      <c r="C15" s="981">
        <f>'AT3A_cvrg(Insti)_PY'!L16-'AT3A_cvrg(Insti)_PY'!J16</f>
        <v>2538</v>
      </c>
      <c r="D15" s="981">
        <f t="shared" si="0"/>
        <v>2538</v>
      </c>
      <c r="E15" s="981">
        <f>'AT3B_cvrg(Insti)_UPY '!L15+'AT3C_cvrg(Insti)_UPY '!L15</f>
        <v>692</v>
      </c>
      <c r="F15" s="981">
        <f t="shared" si="1"/>
        <v>692</v>
      </c>
    </row>
    <row r="16" spans="1:8" s="227" customFormat="1" ht="21" customHeight="1" x14ac:dyDescent="0.2">
      <c r="A16" s="233">
        <v>6</v>
      </c>
      <c r="B16" s="173" t="s">
        <v>652</v>
      </c>
      <c r="C16" s="981">
        <f>'AT3A_cvrg(Insti)_PY'!L17-'AT3A_cvrg(Insti)_PY'!J17</f>
        <v>2200</v>
      </c>
      <c r="D16" s="981">
        <f t="shared" si="0"/>
        <v>2200</v>
      </c>
      <c r="E16" s="981">
        <f>'AT3B_cvrg(Insti)_UPY '!L16+'AT3C_cvrg(Insti)_UPY '!L16</f>
        <v>913</v>
      </c>
      <c r="F16" s="981">
        <f t="shared" si="1"/>
        <v>913</v>
      </c>
      <c r="G16" s="726"/>
      <c r="H16" s="726"/>
    </row>
    <row r="17" spans="1:6" s="227" customFormat="1" ht="21" customHeight="1" x14ac:dyDescent="0.2">
      <c r="A17" s="233">
        <v>7</v>
      </c>
      <c r="B17" s="173" t="s">
        <v>653</v>
      </c>
      <c r="C17" s="981">
        <f>'AT3A_cvrg(Insti)_PY'!L18-'AT3A_cvrg(Insti)_PY'!J18</f>
        <v>2701</v>
      </c>
      <c r="D17" s="981">
        <f t="shared" si="0"/>
        <v>2701</v>
      </c>
      <c r="E17" s="981">
        <f>'AT3B_cvrg(Insti)_UPY '!L17+'AT3C_cvrg(Insti)_UPY '!L17</f>
        <v>776</v>
      </c>
      <c r="F17" s="981">
        <f t="shared" si="1"/>
        <v>776</v>
      </c>
    </row>
    <row r="18" spans="1:6" s="227" customFormat="1" ht="21" customHeight="1" x14ac:dyDescent="0.2">
      <c r="A18" s="233">
        <v>8</v>
      </c>
      <c r="B18" s="173" t="s">
        <v>654</v>
      </c>
      <c r="C18" s="981">
        <f>'AT3A_cvrg(Insti)_PY'!L19-'AT3A_cvrg(Insti)_PY'!J19</f>
        <v>2595</v>
      </c>
      <c r="D18" s="981">
        <f t="shared" si="0"/>
        <v>2595</v>
      </c>
      <c r="E18" s="981">
        <f>'AT3B_cvrg(Insti)_UPY '!L18+'AT3C_cvrg(Insti)_UPY '!L18</f>
        <v>772</v>
      </c>
      <c r="F18" s="981">
        <f t="shared" si="1"/>
        <v>772</v>
      </c>
    </row>
    <row r="19" spans="1:6" s="227" customFormat="1" ht="21" customHeight="1" x14ac:dyDescent="0.2">
      <c r="A19" s="233">
        <v>9</v>
      </c>
      <c r="B19" s="173" t="s">
        <v>655</v>
      </c>
      <c r="C19" s="981">
        <f>'AT3A_cvrg(Insti)_PY'!L20-'AT3A_cvrg(Insti)_PY'!J20</f>
        <v>2665</v>
      </c>
      <c r="D19" s="981">
        <f t="shared" si="0"/>
        <v>2665</v>
      </c>
      <c r="E19" s="981">
        <f>'AT3B_cvrg(Insti)_UPY '!L19+'AT3C_cvrg(Insti)_UPY '!L19</f>
        <v>739</v>
      </c>
      <c r="F19" s="981">
        <f t="shared" si="1"/>
        <v>739</v>
      </c>
    </row>
    <row r="20" spans="1:6" s="227" customFormat="1" ht="21" customHeight="1" x14ac:dyDescent="0.2">
      <c r="A20" s="233">
        <v>10</v>
      </c>
      <c r="B20" s="173" t="s">
        <v>656</v>
      </c>
      <c r="C20" s="981">
        <f>'AT3A_cvrg(Insti)_PY'!L21-'AT3A_cvrg(Insti)_PY'!J21</f>
        <v>3741</v>
      </c>
      <c r="D20" s="981">
        <f t="shared" si="0"/>
        <v>3741</v>
      </c>
      <c r="E20" s="981">
        <f>'AT3B_cvrg(Insti)_UPY '!L20+'AT3C_cvrg(Insti)_UPY '!L20</f>
        <v>1075</v>
      </c>
      <c r="F20" s="981">
        <f t="shared" si="1"/>
        <v>1075</v>
      </c>
    </row>
    <row r="21" spans="1:6" s="227" customFormat="1" ht="21" customHeight="1" x14ac:dyDescent="0.2">
      <c r="A21" s="233">
        <v>11</v>
      </c>
      <c r="B21" s="173" t="s">
        <v>657</v>
      </c>
      <c r="C21" s="981">
        <f>'AT3A_cvrg(Insti)_PY'!L22-'AT3A_cvrg(Insti)_PY'!J22</f>
        <v>2660</v>
      </c>
      <c r="D21" s="981">
        <f t="shared" si="0"/>
        <v>2660</v>
      </c>
      <c r="E21" s="981">
        <f>'AT3B_cvrg(Insti)_UPY '!L21+'AT3C_cvrg(Insti)_UPY '!L21</f>
        <v>709</v>
      </c>
      <c r="F21" s="981">
        <f t="shared" si="1"/>
        <v>709</v>
      </c>
    </row>
    <row r="22" spans="1:6" s="227" customFormat="1" ht="21" customHeight="1" x14ac:dyDescent="0.2">
      <c r="A22" s="233">
        <v>12</v>
      </c>
      <c r="B22" s="173" t="s">
        <v>658</v>
      </c>
      <c r="C22" s="981">
        <f>'AT3A_cvrg(Insti)_PY'!L23-'AT3A_cvrg(Insti)_PY'!J23</f>
        <v>2687</v>
      </c>
      <c r="D22" s="981">
        <f t="shared" si="0"/>
        <v>2687</v>
      </c>
      <c r="E22" s="981">
        <f>'AT3B_cvrg(Insti)_UPY '!L22+'AT3C_cvrg(Insti)_UPY '!L22</f>
        <v>1131</v>
      </c>
      <c r="F22" s="981">
        <f t="shared" si="1"/>
        <v>1131</v>
      </c>
    </row>
    <row r="23" spans="1:6" s="227" customFormat="1" ht="21" customHeight="1" x14ac:dyDescent="0.2">
      <c r="A23" s="233">
        <v>13</v>
      </c>
      <c r="B23" s="173" t="s">
        <v>659</v>
      </c>
      <c r="C23" s="981">
        <f>'AT3A_cvrg(Insti)_PY'!L24-'AT3A_cvrg(Insti)_PY'!J24</f>
        <v>1940</v>
      </c>
      <c r="D23" s="981">
        <f t="shared" si="0"/>
        <v>1940</v>
      </c>
      <c r="E23" s="981">
        <f>'AT3B_cvrg(Insti)_UPY '!L23+'AT3C_cvrg(Insti)_UPY '!L23</f>
        <v>925</v>
      </c>
      <c r="F23" s="981">
        <f t="shared" si="1"/>
        <v>925</v>
      </c>
    </row>
    <row r="24" spans="1:6" s="228" customFormat="1" ht="21" customHeight="1" x14ac:dyDescent="0.2">
      <c r="A24" s="1414" t="s">
        <v>660</v>
      </c>
      <c r="B24" s="1414"/>
      <c r="C24" s="980">
        <f>SUM(C11:C23)</f>
        <v>34812</v>
      </c>
      <c r="D24" s="980">
        <f t="shared" ref="D24:F24" si="2">SUM(D11:D23)</f>
        <v>34812</v>
      </c>
      <c r="E24" s="980">
        <f t="shared" si="2"/>
        <v>10629</v>
      </c>
      <c r="F24" s="980">
        <f t="shared" si="2"/>
        <v>10629</v>
      </c>
    </row>
    <row r="25" spans="1:6" s="227" customFormat="1" ht="15.75" customHeight="1" x14ac:dyDescent="0.2">
      <c r="A25" s="228"/>
      <c r="B25" s="228"/>
      <c r="C25" s="228"/>
      <c r="D25" s="228"/>
      <c r="E25" s="228"/>
      <c r="F25" s="228"/>
    </row>
    <row r="26" spans="1:6" s="227" customFormat="1" ht="60" customHeight="1" x14ac:dyDescent="0.2">
      <c r="A26" s="1332" t="s">
        <v>676</v>
      </c>
      <c r="B26" s="1332"/>
      <c r="C26" s="234"/>
      <c r="D26" s="235"/>
      <c r="E26" s="1415" t="s">
        <v>646</v>
      </c>
      <c r="F26" s="1415"/>
    </row>
  </sheetData>
  <mergeCells count="11">
    <mergeCell ref="A24:B24"/>
    <mergeCell ref="A26:B26"/>
    <mergeCell ref="E26:F26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7.874015748031496E-2" top="0.23622047244094491" bottom="0" header="7.874015748031496E-2" footer="7.874015748031496E-2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5" tint="0.59999389629810485"/>
    <pageSetUpPr fitToPage="1"/>
  </sheetPr>
  <dimension ref="A1:K24"/>
  <sheetViews>
    <sheetView view="pageBreakPreview" zoomScaleNormal="85" zoomScaleSheetLayoutView="100" workbookViewId="0"/>
  </sheetViews>
  <sheetFormatPr defaultRowHeight="12.75" x14ac:dyDescent="0.2"/>
  <cols>
    <col min="2" max="2" width="18.5703125" customWidth="1"/>
    <col min="3" max="3" width="13.85546875" customWidth="1"/>
    <col min="4" max="4" width="10.5703125" style="87" customWidth="1"/>
    <col min="5" max="5" width="10" customWidth="1"/>
    <col min="6" max="6" width="10.85546875" customWidth="1"/>
    <col min="7" max="7" width="10.7109375" customWidth="1"/>
    <col min="8" max="8" width="9.7109375" customWidth="1"/>
    <col min="9" max="9" width="11.140625" customWidth="1"/>
    <col min="10" max="10" width="13.42578125" customWidth="1"/>
  </cols>
  <sheetData>
    <row r="1" spans="1:10" ht="15" x14ac:dyDescent="0.2">
      <c r="A1" s="37"/>
      <c r="B1" s="37"/>
      <c r="C1" s="37"/>
      <c r="D1" s="1501"/>
      <c r="E1" s="1501"/>
      <c r="F1" s="16"/>
      <c r="G1" s="1501" t="s">
        <v>430</v>
      </c>
      <c r="H1" s="1501"/>
      <c r="I1" s="1501"/>
      <c r="J1" s="1501"/>
    </row>
    <row r="2" spans="1:10" ht="15.75" x14ac:dyDescent="0.25">
      <c r="A2" s="1498" t="s">
        <v>0</v>
      </c>
      <c r="B2" s="1498"/>
      <c r="C2" s="1498"/>
      <c r="D2" s="1498"/>
      <c r="E2" s="1498"/>
      <c r="F2" s="1498"/>
      <c r="G2" s="1498"/>
      <c r="H2" s="1498"/>
      <c r="I2" s="1498"/>
      <c r="J2" s="1498"/>
    </row>
    <row r="3" spans="1:10" ht="18" x14ac:dyDescent="0.25">
      <c r="A3" s="54"/>
      <c r="B3" s="54"/>
      <c r="C3" s="1304" t="s">
        <v>493</v>
      </c>
      <c r="D3" s="1304"/>
      <c r="E3" s="1304"/>
      <c r="F3" s="1304"/>
      <c r="G3" s="1304"/>
      <c r="H3" s="1304"/>
      <c r="I3" s="1304"/>
      <c r="J3" s="54"/>
    </row>
    <row r="4" spans="1:10" ht="15.75" x14ac:dyDescent="0.25">
      <c r="A4" s="1183" t="s">
        <v>429</v>
      </c>
      <c r="B4" s="1183"/>
      <c r="C4" s="1183"/>
      <c r="D4" s="1183"/>
      <c r="E4" s="1183"/>
      <c r="F4" s="1183"/>
      <c r="G4" s="1183"/>
      <c r="H4" s="1183"/>
      <c r="I4" s="1183"/>
      <c r="J4" s="1183"/>
    </row>
    <row r="5" spans="1:10" ht="15.75" x14ac:dyDescent="0.25">
      <c r="A5" s="1198" t="s">
        <v>687</v>
      </c>
      <c r="B5" s="1198"/>
      <c r="C5" s="1198"/>
      <c r="D5" s="743"/>
      <c r="E5" s="39"/>
      <c r="F5" s="39"/>
      <c r="G5" s="39"/>
      <c r="H5" s="39"/>
      <c r="I5" s="922" t="s">
        <v>951</v>
      </c>
      <c r="J5" s="39"/>
    </row>
    <row r="6" spans="1:10" ht="21.75" customHeight="1" x14ac:dyDescent="0.2">
      <c r="A6" s="1502" t="s">
        <v>2</v>
      </c>
      <c r="B6" s="1502" t="s">
        <v>3</v>
      </c>
      <c r="C6" s="1504" t="s">
        <v>128</v>
      </c>
      <c r="D6" s="1505"/>
      <c r="E6" s="1505"/>
      <c r="F6" s="1505"/>
      <c r="G6" s="1505"/>
      <c r="H6" s="1505"/>
      <c r="I6" s="1505"/>
      <c r="J6" s="1506"/>
    </row>
    <row r="7" spans="1:10" ht="39.75" customHeight="1" x14ac:dyDescent="0.2">
      <c r="A7" s="1503"/>
      <c r="B7" s="1503"/>
      <c r="C7" s="296" t="s">
        <v>182</v>
      </c>
      <c r="D7" s="916" t="s">
        <v>112</v>
      </c>
      <c r="E7" s="296" t="s">
        <v>370</v>
      </c>
      <c r="F7" s="503" t="s">
        <v>152</v>
      </c>
      <c r="G7" s="503" t="s">
        <v>113</v>
      </c>
      <c r="H7" s="504" t="s">
        <v>181</v>
      </c>
      <c r="I7" s="504" t="s">
        <v>744</v>
      </c>
      <c r="J7" s="505" t="s">
        <v>13</v>
      </c>
    </row>
    <row r="8" spans="1:10" s="10" customFormat="1" x14ac:dyDescent="0.2">
      <c r="A8" s="41">
        <v>1</v>
      </c>
      <c r="B8" s="41">
        <v>2</v>
      </c>
      <c r="C8" s="41">
        <v>3</v>
      </c>
      <c r="D8" s="917">
        <v>4</v>
      </c>
      <c r="E8" s="41">
        <v>5</v>
      </c>
      <c r="F8" s="41">
        <v>6</v>
      </c>
      <c r="G8" s="41">
        <v>7</v>
      </c>
      <c r="H8" s="43">
        <v>8</v>
      </c>
      <c r="I8" s="43">
        <v>9</v>
      </c>
      <c r="J8" s="42">
        <v>10</v>
      </c>
    </row>
    <row r="9" spans="1:10" s="227" customFormat="1" ht="21" customHeight="1" x14ac:dyDescent="0.2">
      <c r="A9" s="233">
        <v>1</v>
      </c>
      <c r="B9" s="173" t="s">
        <v>647</v>
      </c>
      <c r="C9" s="300">
        <v>0</v>
      </c>
      <c r="D9" s="970">
        <f>(J9-I9-H9-G9)</f>
        <v>3154</v>
      </c>
      <c r="E9" s="300">
        <v>0</v>
      </c>
      <c r="F9" s="300">
        <v>0</v>
      </c>
      <c r="G9" s="233">
        <v>0</v>
      </c>
      <c r="H9" s="233">
        <v>0</v>
      </c>
      <c r="I9" s="233">
        <f>'AT3A_cvrg(Insti)_PY'!J12</f>
        <v>0</v>
      </c>
      <c r="J9" s="924">
        <f>'AT-3'!G9</f>
        <v>3154</v>
      </c>
    </row>
    <row r="10" spans="1:10" s="227" customFormat="1" ht="21" customHeight="1" x14ac:dyDescent="0.2">
      <c r="A10" s="233">
        <v>2</v>
      </c>
      <c r="B10" s="173" t="s">
        <v>648</v>
      </c>
      <c r="C10" s="300">
        <v>0</v>
      </c>
      <c r="D10" s="970">
        <f t="shared" ref="D10:D21" si="0">(J10-I10-H10-G10)</f>
        <v>2701</v>
      </c>
      <c r="E10" s="300">
        <v>0</v>
      </c>
      <c r="F10" s="300">
        <v>0</v>
      </c>
      <c r="G10" s="233">
        <v>0</v>
      </c>
      <c r="H10" s="233">
        <v>0</v>
      </c>
      <c r="I10" s="233">
        <f>'AT3A_cvrg(Insti)_PY'!J13</f>
        <v>0</v>
      </c>
      <c r="J10" s="924">
        <f>'AT-3'!G10</f>
        <v>2701</v>
      </c>
    </row>
    <row r="11" spans="1:10" s="227" customFormat="1" ht="21" customHeight="1" x14ac:dyDescent="0.2">
      <c r="A11" s="233">
        <v>3</v>
      </c>
      <c r="B11" s="173" t="s">
        <v>649</v>
      </c>
      <c r="C11" s="300">
        <v>0</v>
      </c>
      <c r="D11" s="970">
        <f t="shared" si="0"/>
        <v>3708</v>
      </c>
      <c r="E11" s="300">
        <v>0</v>
      </c>
      <c r="F11" s="300">
        <v>0</v>
      </c>
      <c r="G11" s="233">
        <v>155</v>
      </c>
      <c r="H11" s="233">
        <v>0</v>
      </c>
      <c r="I11" s="233">
        <f>'AT3A_cvrg(Insti)_PY'!J14</f>
        <v>0</v>
      </c>
      <c r="J11" s="924">
        <f>'AT-3'!G11</f>
        <v>3863</v>
      </c>
    </row>
    <row r="12" spans="1:10" s="227" customFormat="1" ht="21" customHeight="1" x14ac:dyDescent="0.2">
      <c r="A12" s="233">
        <v>4</v>
      </c>
      <c r="B12" s="173" t="s">
        <v>650</v>
      </c>
      <c r="C12" s="300">
        <v>0</v>
      </c>
      <c r="D12" s="970">
        <f>(J12-I12-H12-G12)</f>
        <v>3991</v>
      </c>
      <c r="E12" s="300">
        <v>0</v>
      </c>
      <c r="F12" s="300">
        <v>0</v>
      </c>
      <c r="G12" s="233">
        <v>144</v>
      </c>
      <c r="H12" s="233">
        <v>129</v>
      </c>
      <c r="I12" s="233">
        <f>'AT3A_cvrg(Insti)_PY'!J15</f>
        <v>0</v>
      </c>
      <c r="J12" s="924">
        <f>'AT-3'!G12</f>
        <v>4264</v>
      </c>
    </row>
    <row r="13" spans="1:10" s="227" customFormat="1" ht="21" customHeight="1" x14ac:dyDescent="0.2">
      <c r="A13" s="233">
        <v>5</v>
      </c>
      <c r="B13" s="173" t="s">
        <v>651</v>
      </c>
      <c r="C13" s="300">
        <v>0</v>
      </c>
      <c r="D13" s="970">
        <f t="shared" si="0"/>
        <v>3176</v>
      </c>
      <c r="E13" s="300">
        <v>0</v>
      </c>
      <c r="F13" s="300">
        <v>0</v>
      </c>
      <c r="G13" s="233">
        <v>54</v>
      </c>
      <c r="H13" s="233">
        <v>0</v>
      </c>
      <c r="I13" s="233">
        <f>'AT3A_cvrg(Insti)_PY'!J16</f>
        <v>12</v>
      </c>
      <c r="J13" s="924">
        <f>'AT-3'!G13</f>
        <v>3242</v>
      </c>
    </row>
    <row r="14" spans="1:10" s="227" customFormat="1" ht="21" customHeight="1" x14ac:dyDescent="0.2">
      <c r="A14" s="233">
        <v>6</v>
      </c>
      <c r="B14" s="173" t="s">
        <v>652</v>
      </c>
      <c r="C14" s="300">
        <v>0</v>
      </c>
      <c r="D14" s="970">
        <f t="shared" si="0"/>
        <v>3113</v>
      </c>
      <c r="E14" s="300">
        <v>0</v>
      </c>
      <c r="F14" s="300">
        <v>0</v>
      </c>
      <c r="G14" s="233">
        <v>0</v>
      </c>
      <c r="H14" s="233">
        <v>0</v>
      </c>
      <c r="I14" s="233">
        <f>'AT3A_cvrg(Insti)_PY'!J17</f>
        <v>7</v>
      </c>
      <c r="J14" s="924">
        <f>'AT-3'!G14</f>
        <v>3120</v>
      </c>
    </row>
    <row r="15" spans="1:10" s="227" customFormat="1" ht="21" customHeight="1" x14ac:dyDescent="0.2">
      <c r="A15" s="233">
        <v>7</v>
      </c>
      <c r="B15" s="173" t="s">
        <v>653</v>
      </c>
      <c r="C15" s="300">
        <v>0</v>
      </c>
      <c r="D15" s="970">
        <f t="shared" si="0"/>
        <v>3302</v>
      </c>
      <c r="E15" s="300">
        <v>0</v>
      </c>
      <c r="F15" s="300">
        <v>0</v>
      </c>
      <c r="G15" s="233">
        <v>175</v>
      </c>
      <c r="H15" s="233">
        <v>0</v>
      </c>
      <c r="I15" s="233">
        <f>'AT3A_cvrg(Insti)_PY'!J18</f>
        <v>20</v>
      </c>
      <c r="J15" s="924">
        <f>'AT-3'!G15</f>
        <v>3497</v>
      </c>
    </row>
    <row r="16" spans="1:10" s="227" customFormat="1" ht="21" customHeight="1" x14ac:dyDescent="0.2">
      <c r="A16" s="233">
        <v>8</v>
      </c>
      <c r="B16" s="173" t="s">
        <v>654</v>
      </c>
      <c r="C16" s="300">
        <v>0</v>
      </c>
      <c r="D16" s="970">
        <f t="shared" si="0"/>
        <v>3367</v>
      </c>
      <c r="E16" s="300">
        <v>0</v>
      </c>
      <c r="F16" s="300">
        <v>0</v>
      </c>
      <c r="G16" s="233">
        <v>0</v>
      </c>
      <c r="H16" s="233">
        <v>0</v>
      </c>
      <c r="I16" s="233">
        <f>'AT3A_cvrg(Insti)_PY'!J19</f>
        <v>0</v>
      </c>
      <c r="J16" s="924">
        <f>'AT-3'!G16</f>
        <v>3367</v>
      </c>
    </row>
    <row r="17" spans="1:11" s="227" customFormat="1" ht="21" customHeight="1" x14ac:dyDescent="0.2">
      <c r="A17" s="233">
        <v>9</v>
      </c>
      <c r="B17" s="173" t="s">
        <v>655</v>
      </c>
      <c r="C17" s="300">
        <v>0</v>
      </c>
      <c r="D17" s="970">
        <f t="shared" si="0"/>
        <v>3002</v>
      </c>
      <c r="E17" s="300">
        <v>0</v>
      </c>
      <c r="F17" s="300">
        <v>0</v>
      </c>
      <c r="G17" s="233">
        <v>402</v>
      </c>
      <c r="H17" s="233">
        <v>0</v>
      </c>
      <c r="I17" s="233">
        <f>'AT3A_cvrg(Insti)_PY'!J20</f>
        <v>21</v>
      </c>
      <c r="J17" s="924">
        <f>'AT-3'!G17</f>
        <v>3425</v>
      </c>
    </row>
    <row r="18" spans="1:11" s="227" customFormat="1" ht="21" customHeight="1" x14ac:dyDescent="0.2">
      <c r="A18" s="233">
        <v>10</v>
      </c>
      <c r="B18" s="173" t="s">
        <v>656</v>
      </c>
      <c r="C18" s="300">
        <v>0</v>
      </c>
      <c r="D18" s="970">
        <f t="shared" si="0"/>
        <v>4313</v>
      </c>
      <c r="E18" s="300">
        <v>0</v>
      </c>
      <c r="F18" s="300">
        <v>0</v>
      </c>
      <c r="G18" s="233">
        <v>465</v>
      </c>
      <c r="H18" s="233">
        <v>38</v>
      </c>
      <c r="I18" s="233">
        <f>'AT3A_cvrg(Insti)_PY'!J21</f>
        <v>0</v>
      </c>
      <c r="J18" s="924">
        <f>'AT-3'!G18</f>
        <v>4816</v>
      </c>
    </row>
    <row r="19" spans="1:11" s="227" customFormat="1" ht="21" customHeight="1" x14ac:dyDescent="0.2">
      <c r="A19" s="233">
        <v>11</v>
      </c>
      <c r="B19" s="173" t="s">
        <v>657</v>
      </c>
      <c r="C19" s="300">
        <v>0</v>
      </c>
      <c r="D19" s="970">
        <f t="shared" si="0"/>
        <v>3247</v>
      </c>
      <c r="E19" s="300">
        <v>0</v>
      </c>
      <c r="F19" s="300">
        <v>0</v>
      </c>
      <c r="G19" s="300">
        <v>122</v>
      </c>
      <c r="H19" s="233">
        <v>0</v>
      </c>
      <c r="I19" s="233">
        <f>'AT3A_cvrg(Insti)_PY'!J22</f>
        <v>0</v>
      </c>
      <c r="J19" s="924">
        <f>'AT-3'!G19</f>
        <v>3369</v>
      </c>
    </row>
    <row r="20" spans="1:11" s="227" customFormat="1" ht="21" customHeight="1" x14ac:dyDescent="0.2">
      <c r="A20" s="233">
        <v>12</v>
      </c>
      <c r="B20" s="173" t="s">
        <v>658</v>
      </c>
      <c r="C20" s="300">
        <v>0</v>
      </c>
      <c r="D20" s="970">
        <f t="shared" si="0"/>
        <v>3708</v>
      </c>
      <c r="E20" s="300">
        <v>0</v>
      </c>
      <c r="F20" s="300">
        <v>0</v>
      </c>
      <c r="G20" s="233">
        <f>64+13</f>
        <v>77</v>
      </c>
      <c r="H20" s="233">
        <v>33</v>
      </c>
      <c r="I20" s="233">
        <f>'AT3A_cvrg(Insti)_PY'!J23</f>
        <v>0</v>
      </c>
      <c r="J20" s="924">
        <f>'AT-3'!G20</f>
        <v>3818</v>
      </c>
      <c r="K20" s="227">
        <f>64+13+33</f>
        <v>110</v>
      </c>
    </row>
    <row r="21" spans="1:11" s="227" customFormat="1" ht="21" customHeight="1" x14ac:dyDescent="0.2">
      <c r="A21" s="233">
        <v>13</v>
      </c>
      <c r="B21" s="173" t="s">
        <v>659</v>
      </c>
      <c r="C21" s="300">
        <v>0</v>
      </c>
      <c r="D21" s="970">
        <f t="shared" si="0"/>
        <v>2865</v>
      </c>
      <c r="E21" s="300">
        <v>0</v>
      </c>
      <c r="F21" s="300">
        <v>0</v>
      </c>
      <c r="G21" s="233">
        <v>0</v>
      </c>
      <c r="H21" s="233">
        <v>0</v>
      </c>
      <c r="I21" s="233">
        <f>'AT3A_cvrg(Insti)_PY'!J24</f>
        <v>4</v>
      </c>
      <c r="J21" s="924">
        <f>'AT-3'!G21</f>
        <v>2869</v>
      </c>
    </row>
    <row r="22" spans="1:11" s="228" customFormat="1" ht="21" customHeight="1" x14ac:dyDescent="0.2">
      <c r="A22" s="1414" t="s">
        <v>660</v>
      </c>
      <c r="B22" s="1414"/>
      <c r="C22" s="942">
        <f>SUM(C9:C21)</f>
        <v>0</v>
      </c>
      <c r="D22" s="942">
        <f t="shared" ref="D22:J22" si="1">SUM(D9:D21)</f>
        <v>43647</v>
      </c>
      <c r="E22" s="942">
        <f t="shared" si="1"/>
        <v>0</v>
      </c>
      <c r="F22" s="942">
        <f t="shared" si="1"/>
        <v>0</v>
      </c>
      <c r="G22" s="942">
        <f>SUM(G9:G21)</f>
        <v>1594</v>
      </c>
      <c r="H22" s="942">
        <f t="shared" si="1"/>
        <v>200</v>
      </c>
      <c r="I22" s="942">
        <f t="shared" si="1"/>
        <v>64</v>
      </c>
      <c r="J22" s="942">
        <f t="shared" si="1"/>
        <v>45505</v>
      </c>
    </row>
    <row r="23" spans="1:11" s="227" customFormat="1" ht="15.75" customHeight="1" x14ac:dyDescent="0.2">
      <c r="A23" s="228"/>
      <c r="B23" s="228"/>
      <c r="C23" s="228"/>
      <c r="D23" s="744"/>
      <c r="E23" s="228"/>
      <c r="F23" s="228"/>
    </row>
    <row r="24" spans="1:11" s="227" customFormat="1" ht="60" customHeight="1" x14ac:dyDescent="0.2">
      <c r="A24" s="1332" t="s">
        <v>676</v>
      </c>
      <c r="B24" s="1332"/>
      <c r="C24" s="234"/>
      <c r="D24" s="438"/>
      <c r="G24" s="1415" t="s">
        <v>646</v>
      </c>
      <c r="H24" s="1415"/>
      <c r="I24" s="1415"/>
      <c r="J24" s="1415"/>
    </row>
  </sheetData>
  <mergeCells count="12">
    <mergeCell ref="A22:B22"/>
    <mergeCell ref="A24:B24"/>
    <mergeCell ref="G24:J24"/>
    <mergeCell ref="D1:E1"/>
    <mergeCell ref="G1:J1"/>
    <mergeCell ref="A2:J2"/>
    <mergeCell ref="A4:J4"/>
    <mergeCell ref="A6:A7"/>
    <mergeCell ref="B6:B7"/>
    <mergeCell ref="C6:J6"/>
    <mergeCell ref="C3:I3"/>
    <mergeCell ref="A5:C5"/>
  </mergeCells>
  <phoneticPr fontId="0" type="noConversion"/>
  <printOptions horizontalCentered="1"/>
  <pageMargins left="0.70866141732283472" right="0.70866141732283472" top="0.39370078740157483" bottom="0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5" tint="0.59999389629810485"/>
  </sheetPr>
  <dimension ref="A1:M26"/>
  <sheetViews>
    <sheetView view="pageBreakPreview" topLeftCell="A7" zoomScale="76" zoomScaleNormal="85" zoomScaleSheetLayoutView="76" workbookViewId="0">
      <selection activeCell="N7" sqref="N1:Q1048576"/>
    </sheetView>
  </sheetViews>
  <sheetFormatPr defaultRowHeight="12.75" x14ac:dyDescent="0.2"/>
  <cols>
    <col min="1" max="1" width="6.140625" customWidth="1"/>
    <col min="2" max="2" width="17" customWidth="1"/>
    <col min="3" max="3" width="13" style="87" customWidth="1"/>
    <col min="4" max="9" width="13" customWidth="1"/>
    <col min="10" max="13" width="13.42578125" customWidth="1"/>
  </cols>
  <sheetData>
    <row r="1" spans="1:13" ht="15" x14ac:dyDescent="0.2">
      <c r="A1" s="37"/>
      <c r="B1" s="37"/>
      <c r="C1" s="132"/>
      <c r="D1" s="37"/>
      <c r="E1" s="37"/>
      <c r="F1" s="37"/>
      <c r="G1" s="37"/>
      <c r="H1" s="37"/>
      <c r="I1" s="37"/>
      <c r="J1" s="37"/>
      <c r="K1" s="37"/>
      <c r="L1" s="1501" t="s">
        <v>543</v>
      </c>
      <c r="M1" s="1501"/>
    </row>
    <row r="2" spans="1:13" ht="15.75" x14ac:dyDescent="0.25">
      <c r="A2" s="1498" t="s">
        <v>0</v>
      </c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  <c r="M2" s="1498"/>
    </row>
    <row r="3" spans="1:13" ht="20.25" x14ac:dyDescent="0.3">
      <c r="A3" s="1182" t="s">
        <v>493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</row>
    <row r="4" spans="1:13" x14ac:dyDescent="0.2">
      <c r="A4" s="37"/>
      <c r="B4" s="37"/>
      <c r="C4" s="132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.75" x14ac:dyDescent="0.25">
      <c r="A5" s="1183" t="s">
        <v>542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</row>
    <row r="6" spans="1:13" x14ac:dyDescent="0.2">
      <c r="A6" s="37"/>
      <c r="B6" s="37"/>
      <c r="C6" s="132"/>
      <c r="D6" s="37"/>
      <c r="E6" s="37"/>
      <c r="F6" s="37"/>
      <c r="G6" s="37"/>
      <c r="H6" s="37"/>
      <c r="I6" s="37"/>
      <c r="J6" s="37"/>
      <c r="K6" s="37" t="s">
        <v>951</v>
      </c>
      <c r="L6" s="37"/>
      <c r="M6" s="37"/>
    </row>
    <row r="7" spans="1:13" x14ac:dyDescent="0.2">
      <c r="A7" s="14" t="s">
        <v>687</v>
      </c>
      <c r="B7" s="14"/>
      <c r="C7" s="748"/>
      <c r="D7" s="12"/>
      <c r="E7" s="12"/>
      <c r="F7" s="37"/>
      <c r="G7" s="37"/>
      <c r="H7" s="37"/>
      <c r="I7" s="37"/>
      <c r="J7" s="37"/>
      <c r="K7" s="37"/>
      <c r="L7" s="37"/>
      <c r="M7" s="37"/>
    </row>
    <row r="8" spans="1:13" ht="19.899999999999999" customHeight="1" x14ac:dyDescent="0.2">
      <c r="A8" s="1105" t="s">
        <v>2</v>
      </c>
      <c r="B8" s="1105" t="s">
        <v>3</v>
      </c>
      <c r="C8" s="1264" t="s">
        <v>112</v>
      </c>
      <c r="D8" s="1264"/>
      <c r="E8" s="1109"/>
      <c r="F8" s="1108" t="s">
        <v>113</v>
      </c>
      <c r="G8" s="1264"/>
      <c r="H8" s="1264"/>
      <c r="I8" s="1109"/>
      <c r="J8" s="1108" t="s">
        <v>181</v>
      </c>
      <c r="K8" s="1264"/>
      <c r="L8" s="1264"/>
      <c r="M8" s="1109"/>
    </row>
    <row r="9" spans="1:13" ht="45.75" customHeight="1" x14ac:dyDescent="0.2">
      <c r="A9" s="1105"/>
      <c r="B9" s="1105"/>
      <c r="C9" s="749" t="s">
        <v>372</v>
      </c>
      <c r="D9" s="600" t="s">
        <v>369</v>
      </c>
      <c r="E9" s="599" t="s">
        <v>183</v>
      </c>
      <c r="F9" s="600" t="s">
        <v>367</v>
      </c>
      <c r="G9" s="599" t="s">
        <v>368</v>
      </c>
      <c r="H9" s="600" t="s">
        <v>369</v>
      </c>
      <c r="I9" s="599" t="s">
        <v>183</v>
      </c>
      <c r="J9" s="600" t="s">
        <v>371</v>
      </c>
      <c r="K9" s="599" t="s">
        <v>368</v>
      </c>
      <c r="L9" s="600" t="s">
        <v>369</v>
      </c>
      <c r="M9" s="601" t="s">
        <v>183</v>
      </c>
    </row>
    <row r="10" spans="1:13" s="10" customFormat="1" ht="15" x14ac:dyDescent="0.2">
      <c r="A10" s="556">
        <v>1</v>
      </c>
      <c r="B10" s="556">
        <v>2</v>
      </c>
      <c r="C10" s="750">
        <v>3</v>
      </c>
      <c r="D10" s="556">
        <v>4</v>
      </c>
      <c r="E10" s="556">
        <v>5</v>
      </c>
      <c r="F10" s="556">
        <v>6</v>
      </c>
      <c r="G10" s="556">
        <v>7</v>
      </c>
      <c r="H10" s="556">
        <v>8</v>
      </c>
      <c r="I10" s="556">
        <v>9</v>
      </c>
      <c r="J10" s="556">
        <v>10</v>
      </c>
      <c r="K10" s="556">
        <v>11</v>
      </c>
      <c r="L10" s="556">
        <v>12</v>
      </c>
      <c r="M10" s="556">
        <v>13</v>
      </c>
    </row>
    <row r="11" spans="1:13" s="227" customFormat="1" ht="27" customHeight="1" x14ac:dyDescent="0.2">
      <c r="A11" s="233">
        <v>1</v>
      </c>
      <c r="B11" s="173" t="s">
        <v>647</v>
      </c>
      <c r="C11" s="915">
        <v>3154</v>
      </c>
      <c r="D11" s="411">
        <v>3154</v>
      </c>
      <c r="E11" s="411">
        <v>183698</v>
      </c>
      <c r="F11" s="602" t="s">
        <v>7</v>
      </c>
      <c r="G11" s="598">
        <v>0</v>
      </c>
      <c r="H11" s="598">
        <v>0</v>
      </c>
      <c r="I11" s="598">
        <v>0</v>
      </c>
      <c r="J11" s="598">
        <v>0</v>
      </c>
      <c r="K11" s="502">
        <v>0</v>
      </c>
      <c r="L11" s="502">
        <v>0</v>
      </c>
      <c r="M11" s="502">
        <v>0</v>
      </c>
    </row>
    <row r="12" spans="1:13" s="227" customFormat="1" ht="27" customHeight="1" x14ac:dyDescent="0.2">
      <c r="A12" s="233">
        <v>2</v>
      </c>
      <c r="B12" s="173" t="s">
        <v>648</v>
      </c>
      <c r="C12" s="915">
        <v>2701</v>
      </c>
      <c r="D12" s="411">
        <v>2701</v>
      </c>
      <c r="E12" s="411">
        <v>152128</v>
      </c>
      <c r="F12" s="602" t="s">
        <v>7</v>
      </c>
      <c r="G12" s="598">
        <v>0</v>
      </c>
      <c r="H12" s="598">
        <v>0</v>
      </c>
      <c r="I12" s="598">
        <v>0</v>
      </c>
      <c r="J12" s="598">
        <v>0</v>
      </c>
      <c r="K12" s="502">
        <v>0</v>
      </c>
      <c r="L12" s="502">
        <v>0</v>
      </c>
      <c r="M12" s="502">
        <v>0</v>
      </c>
    </row>
    <row r="13" spans="1:13" s="227" customFormat="1" ht="27" customHeight="1" x14ac:dyDescent="0.2">
      <c r="A13" s="233">
        <v>3</v>
      </c>
      <c r="B13" s="173" t="s">
        <v>649</v>
      </c>
      <c r="C13" s="915">
        <v>3708</v>
      </c>
      <c r="D13" s="411">
        <v>3708</v>
      </c>
      <c r="E13" s="411">
        <v>184022</v>
      </c>
      <c r="F13" s="602" t="s">
        <v>942</v>
      </c>
      <c r="G13" s="598">
        <v>2</v>
      </c>
      <c r="H13" s="598">
        <v>155</v>
      </c>
      <c r="I13" s="598">
        <v>27287</v>
      </c>
      <c r="J13" s="598">
        <v>0</v>
      </c>
      <c r="K13" s="502">
        <v>0</v>
      </c>
      <c r="L13" s="502">
        <v>0</v>
      </c>
      <c r="M13" s="502"/>
    </row>
    <row r="14" spans="1:13" s="227" customFormat="1" ht="27" customHeight="1" x14ac:dyDescent="0.2">
      <c r="A14" s="233">
        <v>4</v>
      </c>
      <c r="B14" s="173" t="s">
        <v>650</v>
      </c>
      <c r="C14" s="915">
        <v>3991</v>
      </c>
      <c r="D14" s="411">
        <v>3991</v>
      </c>
      <c r="E14" s="411">
        <v>253017</v>
      </c>
      <c r="F14" s="602" t="s">
        <v>941</v>
      </c>
      <c r="G14" s="598">
        <v>2</v>
      </c>
      <c r="H14" s="598">
        <v>144</v>
      </c>
      <c r="I14" s="598">
        <v>28329</v>
      </c>
      <c r="J14" s="920" t="s">
        <v>945</v>
      </c>
      <c r="K14" s="502">
        <v>1</v>
      </c>
      <c r="L14" s="502">
        <v>129</v>
      </c>
      <c r="M14" s="502">
        <v>14216</v>
      </c>
    </row>
    <row r="15" spans="1:13" s="227" customFormat="1" ht="27" customHeight="1" x14ac:dyDescent="0.2">
      <c r="A15" s="233">
        <v>5</v>
      </c>
      <c r="B15" s="173" t="s">
        <v>651</v>
      </c>
      <c r="C15" s="915">
        <v>3176</v>
      </c>
      <c r="D15" s="411">
        <v>3176</v>
      </c>
      <c r="E15" s="411">
        <v>204291</v>
      </c>
      <c r="F15" s="602" t="s">
        <v>943</v>
      </c>
      <c r="G15" s="598">
        <v>2</v>
      </c>
      <c r="H15" s="598">
        <v>54</v>
      </c>
      <c r="I15" s="598">
        <v>20912</v>
      </c>
      <c r="J15" s="598">
        <v>0</v>
      </c>
      <c r="K15" s="502">
        <v>0</v>
      </c>
      <c r="L15" s="502">
        <v>0</v>
      </c>
      <c r="M15" s="502">
        <v>0</v>
      </c>
    </row>
    <row r="16" spans="1:13" s="227" customFormat="1" ht="27" customHeight="1" x14ac:dyDescent="0.2">
      <c r="A16" s="233">
        <v>6</v>
      </c>
      <c r="B16" s="173" t="s">
        <v>652</v>
      </c>
      <c r="C16" s="915">
        <v>3113</v>
      </c>
      <c r="D16" s="411">
        <v>3113</v>
      </c>
      <c r="E16" s="411">
        <v>213907</v>
      </c>
      <c r="F16" s="602" t="s">
        <v>7</v>
      </c>
      <c r="G16" s="598">
        <v>0</v>
      </c>
      <c r="H16" s="598">
        <v>0</v>
      </c>
      <c r="I16" s="598">
        <v>0</v>
      </c>
      <c r="J16" s="598">
        <v>0</v>
      </c>
      <c r="K16" s="502">
        <v>0</v>
      </c>
      <c r="L16" s="502">
        <v>0</v>
      </c>
      <c r="M16" s="502">
        <v>0</v>
      </c>
    </row>
    <row r="17" spans="1:13" s="227" customFormat="1" ht="27" customHeight="1" x14ac:dyDescent="0.2">
      <c r="A17" s="233">
        <v>7</v>
      </c>
      <c r="B17" s="173" t="s">
        <v>653</v>
      </c>
      <c r="C17" s="915">
        <v>3302</v>
      </c>
      <c r="D17" s="411">
        <v>3302</v>
      </c>
      <c r="E17" s="411">
        <v>247259</v>
      </c>
      <c r="F17" s="602" t="s">
        <v>944</v>
      </c>
      <c r="G17" s="598">
        <v>1</v>
      </c>
      <c r="H17" s="598">
        <v>175</v>
      </c>
      <c r="I17" s="598">
        <v>18355</v>
      </c>
      <c r="J17" s="598">
        <v>0</v>
      </c>
      <c r="K17" s="502">
        <v>0</v>
      </c>
      <c r="L17" s="502">
        <v>0</v>
      </c>
      <c r="M17" s="502">
        <v>0</v>
      </c>
    </row>
    <row r="18" spans="1:13" s="227" customFormat="1" ht="27" customHeight="1" x14ac:dyDescent="0.2">
      <c r="A18" s="233">
        <v>8</v>
      </c>
      <c r="B18" s="173" t="s">
        <v>654</v>
      </c>
      <c r="C18" s="915">
        <v>3367</v>
      </c>
      <c r="D18" s="411">
        <v>3367</v>
      </c>
      <c r="E18" s="411">
        <v>219034</v>
      </c>
      <c r="F18" s="602" t="s">
        <v>7</v>
      </c>
      <c r="G18" s="598">
        <v>0</v>
      </c>
      <c r="H18" s="598">
        <v>0</v>
      </c>
      <c r="I18" s="598">
        <v>0</v>
      </c>
      <c r="J18" s="598">
        <v>0</v>
      </c>
      <c r="K18" s="502">
        <v>0</v>
      </c>
      <c r="L18" s="502">
        <v>0</v>
      </c>
      <c r="M18" s="502">
        <v>0</v>
      </c>
    </row>
    <row r="19" spans="1:13" s="227" customFormat="1" ht="27" customHeight="1" x14ac:dyDescent="0.2">
      <c r="A19" s="233">
        <v>9</v>
      </c>
      <c r="B19" s="173" t="s">
        <v>655</v>
      </c>
      <c r="C19" s="915">
        <v>3002</v>
      </c>
      <c r="D19" s="411">
        <v>3002</v>
      </c>
      <c r="E19" s="411">
        <v>150765</v>
      </c>
      <c r="F19" s="602" t="s">
        <v>941</v>
      </c>
      <c r="G19" s="598">
        <v>2</v>
      </c>
      <c r="H19" s="598">
        <v>402</v>
      </c>
      <c r="I19" s="598">
        <v>36500</v>
      </c>
      <c r="J19" s="598">
        <v>0</v>
      </c>
      <c r="K19" s="502">
        <v>0</v>
      </c>
      <c r="L19" s="502">
        <v>0</v>
      </c>
      <c r="M19" s="502">
        <v>0</v>
      </c>
    </row>
    <row r="20" spans="1:13" s="227" customFormat="1" ht="27" customHeight="1" x14ac:dyDescent="0.25">
      <c r="A20" s="233">
        <v>10</v>
      </c>
      <c r="B20" s="173" t="s">
        <v>656</v>
      </c>
      <c r="C20" s="915">
        <v>4313</v>
      </c>
      <c r="D20" s="411">
        <v>4313</v>
      </c>
      <c r="E20" s="411">
        <v>221614</v>
      </c>
      <c r="F20" s="602" t="s">
        <v>899</v>
      </c>
      <c r="G20" s="598">
        <v>2</v>
      </c>
      <c r="H20" s="598">
        <v>465</v>
      </c>
      <c r="I20" s="598">
        <v>35055</v>
      </c>
      <c r="J20" s="604" t="s">
        <v>940</v>
      </c>
      <c r="K20" s="502">
        <v>1</v>
      </c>
      <c r="L20" s="502">
        <v>38</v>
      </c>
      <c r="M20" s="502">
        <v>2182</v>
      </c>
    </row>
    <row r="21" spans="1:13" s="227" customFormat="1" ht="27" customHeight="1" x14ac:dyDescent="0.2">
      <c r="A21" s="233">
        <v>11</v>
      </c>
      <c r="B21" s="173" t="s">
        <v>657</v>
      </c>
      <c r="C21" s="915">
        <v>3247</v>
      </c>
      <c r="D21" s="411">
        <v>3247</v>
      </c>
      <c r="E21" s="411">
        <v>167396</v>
      </c>
      <c r="F21" s="602" t="s">
        <v>899</v>
      </c>
      <c r="G21" s="598">
        <v>1</v>
      </c>
      <c r="H21" s="598">
        <v>122</v>
      </c>
      <c r="I21" s="598">
        <v>16133</v>
      </c>
      <c r="J21" s="598">
        <v>0</v>
      </c>
      <c r="K21" s="502">
        <v>0</v>
      </c>
      <c r="L21" s="502">
        <v>0</v>
      </c>
      <c r="M21" s="502">
        <v>0</v>
      </c>
    </row>
    <row r="22" spans="1:13" s="227" customFormat="1" ht="27" customHeight="1" x14ac:dyDescent="0.2">
      <c r="A22" s="233">
        <v>12</v>
      </c>
      <c r="B22" s="173" t="s">
        <v>658</v>
      </c>
      <c r="C22" s="915">
        <v>3708</v>
      </c>
      <c r="D22" s="411">
        <v>3708</v>
      </c>
      <c r="E22" s="411">
        <v>224061</v>
      </c>
      <c r="F22" s="602" t="s">
        <v>941</v>
      </c>
      <c r="G22" s="598">
        <v>3</v>
      </c>
      <c r="H22" s="598">
        <v>77</v>
      </c>
      <c r="I22" s="598">
        <v>16177</v>
      </c>
      <c r="J22" s="962" t="s">
        <v>960</v>
      </c>
      <c r="K22" s="502">
        <v>1</v>
      </c>
      <c r="L22" s="502">
        <v>33</v>
      </c>
      <c r="M22" s="502">
        <v>4961</v>
      </c>
    </row>
    <row r="23" spans="1:13" s="227" customFormat="1" ht="27" customHeight="1" x14ac:dyDescent="0.2">
      <c r="A23" s="233">
        <v>13</v>
      </c>
      <c r="B23" s="173" t="s">
        <v>659</v>
      </c>
      <c r="C23" s="915">
        <v>2865</v>
      </c>
      <c r="D23" s="411">
        <v>2865</v>
      </c>
      <c r="E23" s="411">
        <v>320942</v>
      </c>
      <c r="F23" s="602" t="s">
        <v>7</v>
      </c>
      <c r="G23" s="598">
        <v>0</v>
      </c>
      <c r="H23" s="598">
        <v>0</v>
      </c>
      <c r="I23" s="598">
        <v>0</v>
      </c>
      <c r="J23" s="598">
        <v>0</v>
      </c>
      <c r="K23" s="502">
        <v>0</v>
      </c>
      <c r="L23" s="502">
        <v>0</v>
      </c>
      <c r="M23" s="502">
        <v>0</v>
      </c>
    </row>
    <row r="24" spans="1:13" s="228" customFormat="1" ht="27" customHeight="1" x14ac:dyDescent="0.2">
      <c r="A24" s="1414" t="s">
        <v>660</v>
      </c>
      <c r="B24" s="1414"/>
      <c r="C24" s="433">
        <v>43647</v>
      </c>
      <c r="D24" s="727">
        <v>43647</v>
      </c>
      <c r="E24" s="727">
        <v>2742134</v>
      </c>
      <c r="F24" s="603" t="s">
        <v>7</v>
      </c>
      <c r="G24" s="231">
        <v>15</v>
      </c>
      <c r="H24" s="231">
        <v>1594</v>
      </c>
      <c r="I24" s="231">
        <v>198748</v>
      </c>
      <c r="J24" s="231">
        <v>0</v>
      </c>
      <c r="K24" s="231">
        <v>3</v>
      </c>
      <c r="L24" s="231">
        <v>200</v>
      </c>
      <c r="M24" s="231">
        <v>21359</v>
      </c>
    </row>
    <row r="25" spans="1:13" s="227" customFormat="1" ht="15.75" customHeight="1" x14ac:dyDescent="0.2">
      <c r="A25" s="228"/>
      <c r="B25" s="228"/>
      <c r="C25" s="744"/>
      <c r="D25" s="228"/>
      <c r="E25" s="228"/>
      <c r="F25" s="228"/>
    </row>
    <row r="26" spans="1:13" s="227" customFormat="1" ht="60" customHeight="1" x14ac:dyDescent="0.2">
      <c r="A26" s="1332" t="s">
        <v>676</v>
      </c>
      <c r="B26" s="1332"/>
      <c r="C26" s="436"/>
      <c r="D26" s="235"/>
      <c r="G26" s="726"/>
      <c r="H26" s="726"/>
      <c r="K26" s="1415" t="s">
        <v>646</v>
      </c>
      <c r="L26" s="1415"/>
      <c r="M26" s="1415"/>
    </row>
  </sheetData>
  <mergeCells count="12">
    <mergeCell ref="A26:B26"/>
    <mergeCell ref="K26:M26"/>
    <mergeCell ref="C8:E8"/>
    <mergeCell ref="L1:M1"/>
    <mergeCell ref="A2:M2"/>
    <mergeCell ref="A3:M3"/>
    <mergeCell ref="A5:M5"/>
    <mergeCell ref="A8:A9"/>
    <mergeCell ref="B8:B9"/>
    <mergeCell ref="F8:I8"/>
    <mergeCell ref="J8:M8"/>
    <mergeCell ref="A24:B24"/>
  </mergeCells>
  <printOptions horizontalCentered="1"/>
  <pageMargins left="0.70866141732283472" right="7.874015748031496E-2" top="0.39370078740157483" bottom="0" header="7.874015748031496E-2" footer="7.874015748031496E-2"/>
  <pageSetup paperSize="9" scale="7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5" tint="0.59999389629810485"/>
  </sheetPr>
  <dimension ref="A1:L24"/>
  <sheetViews>
    <sheetView view="pageBreakPreview" topLeftCell="A8" zoomScale="84" zoomScaleSheetLayoutView="84" workbookViewId="0">
      <selection activeCell="I22" sqref="I22:J22"/>
    </sheetView>
  </sheetViews>
  <sheetFormatPr defaultRowHeight="12.75" x14ac:dyDescent="0.2"/>
  <cols>
    <col min="1" max="1" width="6.85546875" customWidth="1"/>
    <col min="2" max="2" width="17.42578125" customWidth="1"/>
    <col min="6" max="6" width="13.42578125" customWidth="1"/>
    <col min="7" max="7" width="16.7109375" customWidth="1"/>
    <col min="8" max="8" width="12.42578125" customWidth="1"/>
    <col min="9" max="9" width="15.28515625" customWidth="1"/>
    <col min="10" max="10" width="15.7109375" customWidth="1"/>
    <col min="11" max="11" width="13.85546875" customWidth="1"/>
    <col min="12" max="12" width="9.140625" hidden="1" customWidth="1"/>
  </cols>
  <sheetData>
    <row r="1" spans="1:12" ht="18" x14ac:dyDescent="0.35">
      <c r="A1" s="1420" t="s">
        <v>0</v>
      </c>
      <c r="B1" s="1420"/>
      <c r="C1" s="1420"/>
      <c r="D1" s="1420"/>
      <c r="E1" s="1420"/>
      <c r="F1" s="1420"/>
      <c r="G1" s="1420"/>
      <c r="H1" s="1420"/>
      <c r="I1" s="1420"/>
      <c r="J1" s="1507" t="s">
        <v>511</v>
      </c>
      <c r="K1" s="1507"/>
    </row>
    <row r="2" spans="1:12" ht="21" x14ac:dyDescent="0.35">
      <c r="A2" s="1421" t="s">
        <v>793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</row>
    <row r="3" spans="1:12" ht="15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15" x14ac:dyDescent="0.3">
      <c r="A4" s="1508" t="s">
        <v>510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</row>
    <row r="5" spans="1:12" ht="15" x14ac:dyDescent="0.3">
      <c r="A5" s="69" t="s">
        <v>687</v>
      </c>
      <c r="B5" s="69"/>
      <c r="C5" s="69"/>
      <c r="D5" s="69"/>
      <c r="E5" s="69"/>
      <c r="F5" s="69"/>
      <c r="G5" s="69"/>
      <c r="H5" s="69"/>
      <c r="I5" s="68"/>
      <c r="J5" s="1509" t="s">
        <v>924</v>
      </c>
      <c r="K5" s="1509"/>
      <c r="L5" s="1509"/>
    </row>
    <row r="6" spans="1:12" ht="24" customHeight="1" x14ac:dyDescent="0.2">
      <c r="A6" s="1416" t="s">
        <v>2</v>
      </c>
      <c r="B6" s="1416" t="s">
        <v>3</v>
      </c>
      <c r="C6" s="1416" t="s">
        <v>287</v>
      </c>
      <c r="D6" s="1416" t="s">
        <v>288</v>
      </c>
      <c r="E6" s="1416"/>
      <c r="F6" s="1416"/>
      <c r="G6" s="1416"/>
      <c r="H6" s="1416"/>
      <c r="I6" s="1510" t="s">
        <v>289</v>
      </c>
      <c r="J6" s="1511"/>
      <c r="K6" s="1512"/>
      <c r="L6" s="109"/>
    </row>
    <row r="7" spans="1:12" ht="90" customHeight="1" x14ac:dyDescent="0.2">
      <c r="A7" s="1416"/>
      <c r="B7" s="1416"/>
      <c r="C7" s="1416"/>
      <c r="D7" s="558" t="s">
        <v>290</v>
      </c>
      <c r="E7" s="558" t="s">
        <v>183</v>
      </c>
      <c r="F7" s="558" t="s">
        <v>432</v>
      </c>
      <c r="G7" s="558" t="s">
        <v>291</v>
      </c>
      <c r="H7" s="558" t="s">
        <v>407</v>
      </c>
      <c r="I7" s="558" t="s">
        <v>292</v>
      </c>
      <c r="J7" s="558" t="s">
        <v>293</v>
      </c>
      <c r="K7" s="558" t="s">
        <v>294</v>
      </c>
      <c r="L7" s="109"/>
    </row>
    <row r="8" spans="1:12" ht="15" x14ac:dyDescent="0.2">
      <c r="A8" s="583" t="s">
        <v>248</v>
      </c>
      <c r="B8" s="583" t="s">
        <v>249</v>
      </c>
      <c r="C8" s="583" t="s">
        <v>250</v>
      </c>
      <c r="D8" s="583" t="s">
        <v>251</v>
      </c>
      <c r="E8" s="583" t="s">
        <v>252</v>
      </c>
      <c r="F8" s="583" t="s">
        <v>253</v>
      </c>
      <c r="G8" s="583" t="s">
        <v>254</v>
      </c>
      <c r="H8" s="583" t="s">
        <v>255</v>
      </c>
      <c r="I8" s="583" t="s">
        <v>276</v>
      </c>
      <c r="J8" s="583" t="s">
        <v>277</v>
      </c>
      <c r="K8" s="583" t="s">
        <v>278</v>
      </c>
      <c r="L8" s="109"/>
    </row>
    <row r="9" spans="1:12" s="227" customFormat="1" ht="26.25" customHeight="1" x14ac:dyDescent="0.2">
      <c r="A9" s="233">
        <v>1</v>
      </c>
      <c r="B9" s="173" t="s">
        <v>647</v>
      </c>
      <c r="C9" s="982">
        <f>'AT_20_CentralCookingagency '!G11+'AT_20_CentralCookingagency '!K11</f>
        <v>0</v>
      </c>
      <c r="D9" s="982">
        <f>'AT_20_CentralCookingagency '!H11+'AT_20_CentralCookingagency '!L11</f>
        <v>0</v>
      </c>
      <c r="E9" s="982">
        <f>'AT_20_CentralCookingagency '!I11+'AT_20_CentralCookingagency '!M11</f>
        <v>0</v>
      </c>
      <c r="F9" s="982">
        <v>0</v>
      </c>
      <c r="G9" s="982">
        <v>0</v>
      </c>
      <c r="H9" s="982">
        <f>F9+G9</f>
        <v>0</v>
      </c>
      <c r="I9" s="983">
        <f t="shared" ref="I9:I12" si="0">F9*10*1000/100000</f>
        <v>0</v>
      </c>
      <c r="J9" s="983">
        <f t="shared" ref="J9:J12" si="1">G9*10*1000/100000</f>
        <v>0</v>
      </c>
      <c r="K9" s="983">
        <f>I9+J9</f>
        <v>0</v>
      </c>
      <c r="L9" s="502"/>
    </row>
    <row r="10" spans="1:12" s="227" customFormat="1" ht="26.25" customHeight="1" x14ac:dyDescent="0.2">
      <c r="A10" s="233">
        <v>2</v>
      </c>
      <c r="B10" s="173" t="s">
        <v>648</v>
      </c>
      <c r="C10" s="982">
        <f>'AT_20_CentralCookingagency '!G12+'AT_20_CentralCookingagency '!K12</f>
        <v>0</v>
      </c>
      <c r="D10" s="982">
        <f>'AT_20_CentralCookingagency '!H12+'AT_20_CentralCookingagency '!L12</f>
        <v>0</v>
      </c>
      <c r="E10" s="982">
        <f>'AT_20_CentralCookingagency '!I12+'AT_20_CentralCookingagency '!M12</f>
        <v>0</v>
      </c>
      <c r="F10" s="982">
        <v>0</v>
      </c>
      <c r="G10" s="982">
        <v>0</v>
      </c>
      <c r="H10" s="982">
        <f t="shared" ref="H10:H21" si="2">F10+G10</f>
        <v>0</v>
      </c>
      <c r="I10" s="983">
        <f t="shared" si="0"/>
        <v>0</v>
      </c>
      <c r="J10" s="983">
        <f t="shared" si="1"/>
        <v>0</v>
      </c>
      <c r="K10" s="983">
        <f t="shared" ref="K10:K21" si="3">I10+J10</f>
        <v>0</v>
      </c>
      <c r="L10" s="502"/>
    </row>
    <row r="11" spans="1:12" s="227" customFormat="1" ht="26.25" customHeight="1" x14ac:dyDescent="0.2">
      <c r="A11" s="233">
        <v>3</v>
      </c>
      <c r="B11" s="173" t="s">
        <v>649</v>
      </c>
      <c r="C11" s="982">
        <f>'AT_20_CentralCookingagency '!G13+'AT_20_CentralCookingagency '!K13</f>
        <v>2</v>
      </c>
      <c r="D11" s="982">
        <f>'AT_20_CentralCookingagency '!H13+'AT_20_CentralCookingagency '!L13</f>
        <v>155</v>
      </c>
      <c r="E11" s="982">
        <f>'AT_20_CentralCookingagency '!I13+'AT_20_CentralCookingagency '!M13</f>
        <v>27287</v>
      </c>
      <c r="F11" s="982">
        <v>100</v>
      </c>
      <c r="G11" s="984">
        <v>205</v>
      </c>
      <c r="H11" s="982">
        <f t="shared" si="2"/>
        <v>305</v>
      </c>
      <c r="I11" s="983">
        <f t="shared" si="0"/>
        <v>10</v>
      </c>
      <c r="J11" s="983">
        <f t="shared" si="1"/>
        <v>20.5</v>
      </c>
      <c r="K11" s="983">
        <f t="shared" si="3"/>
        <v>30.5</v>
      </c>
      <c r="L11" s="502"/>
    </row>
    <row r="12" spans="1:12" s="227" customFormat="1" ht="26.25" customHeight="1" x14ac:dyDescent="0.2">
      <c r="A12" s="233">
        <v>4</v>
      </c>
      <c r="B12" s="173" t="s">
        <v>650</v>
      </c>
      <c r="C12" s="982">
        <f>'AT_20_CentralCookingagency '!G14+'AT_20_CentralCookingagency '!K14</f>
        <v>3</v>
      </c>
      <c r="D12" s="982">
        <f>'AT_20_CentralCookingagency '!H14+'AT_20_CentralCookingagency '!L14</f>
        <v>273</v>
      </c>
      <c r="E12" s="982">
        <f>'AT_20_CentralCookingagency '!I14+'AT_20_CentralCookingagency '!M14</f>
        <v>42545</v>
      </c>
      <c r="F12" s="982">
        <v>263</v>
      </c>
      <c r="G12" s="984">
        <v>268</v>
      </c>
      <c r="H12" s="982">
        <f t="shared" si="2"/>
        <v>531</v>
      </c>
      <c r="I12" s="983">
        <f t="shared" si="0"/>
        <v>26.3</v>
      </c>
      <c r="J12" s="983">
        <f t="shared" si="1"/>
        <v>26.8</v>
      </c>
      <c r="K12" s="983">
        <f t="shared" si="3"/>
        <v>53.1</v>
      </c>
      <c r="L12" s="502"/>
    </row>
    <row r="13" spans="1:12" s="227" customFormat="1" ht="26.25" customHeight="1" x14ac:dyDescent="0.2">
      <c r="A13" s="233">
        <v>5</v>
      </c>
      <c r="B13" s="173" t="s">
        <v>651</v>
      </c>
      <c r="C13" s="982">
        <f>'AT_20_CentralCookingagency '!G15+'AT_20_CentralCookingagency '!K15</f>
        <v>2</v>
      </c>
      <c r="D13" s="982">
        <f>'AT_20_CentralCookingagency '!H15+'AT_20_CentralCookingagency '!L15</f>
        <v>54</v>
      </c>
      <c r="E13" s="982">
        <f>'AT_20_CentralCookingagency '!I15+'AT_20_CentralCookingagency '!M15</f>
        <v>20912</v>
      </c>
      <c r="F13" s="982">
        <v>32</v>
      </c>
      <c r="G13" s="984">
        <v>155</v>
      </c>
      <c r="H13" s="982">
        <f t="shared" si="2"/>
        <v>187</v>
      </c>
      <c r="I13" s="983">
        <f>F13*10*1000/100000</f>
        <v>3.2</v>
      </c>
      <c r="J13" s="983">
        <f>G13*10*1000/100000</f>
        <v>15.5</v>
      </c>
      <c r="K13" s="983">
        <f t="shared" si="3"/>
        <v>18.7</v>
      </c>
      <c r="L13" s="502"/>
    </row>
    <row r="14" spans="1:12" s="227" customFormat="1" ht="26.25" customHeight="1" x14ac:dyDescent="0.2">
      <c r="A14" s="233">
        <v>6</v>
      </c>
      <c r="B14" s="173" t="s">
        <v>652</v>
      </c>
      <c r="C14" s="982">
        <f>'AT_20_CentralCookingagency '!G16+'AT_20_CentralCookingagency '!K16</f>
        <v>0</v>
      </c>
      <c r="D14" s="982">
        <f>'AT_20_CentralCookingagency '!H16+'AT_20_CentralCookingagency '!L16</f>
        <v>0</v>
      </c>
      <c r="E14" s="982">
        <f>'AT_20_CentralCookingagency '!I16+'AT_20_CentralCookingagency '!M16</f>
        <v>0</v>
      </c>
      <c r="F14" s="982">
        <v>0</v>
      </c>
      <c r="G14" s="982">
        <v>0</v>
      </c>
      <c r="H14" s="982">
        <f t="shared" si="2"/>
        <v>0</v>
      </c>
      <c r="I14" s="983">
        <f t="shared" ref="I14:I21" si="4">F14*10*1000/100000</f>
        <v>0</v>
      </c>
      <c r="J14" s="983">
        <f t="shared" ref="J14:J21" si="5">G14*10*1000/100000</f>
        <v>0</v>
      </c>
      <c r="K14" s="983">
        <f t="shared" si="3"/>
        <v>0</v>
      </c>
      <c r="L14" s="502"/>
    </row>
    <row r="15" spans="1:12" s="227" customFormat="1" ht="26.25" customHeight="1" x14ac:dyDescent="0.2">
      <c r="A15" s="233">
        <v>7</v>
      </c>
      <c r="B15" s="173" t="s">
        <v>653</v>
      </c>
      <c r="C15" s="982">
        <f>'AT_20_CentralCookingagency '!G17+'AT_20_CentralCookingagency '!K17</f>
        <v>1</v>
      </c>
      <c r="D15" s="982">
        <f>'AT_20_CentralCookingagency '!H17+'AT_20_CentralCookingagency '!L17</f>
        <v>175</v>
      </c>
      <c r="E15" s="982">
        <f>'AT_20_CentralCookingagency '!I17+'AT_20_CentralCookingagency '!M17</f>
        <v>18355</v>
      </c>
      <c r="F15" s="982">
        <v>12</v>
      </c>
      <c r="G15" s="984">
        <v>333</v>
      </c>
      <c r="H15" s="982">
        <f t="shared" si="2"/>
        <v>345</v>
      </c>
      <c r="I15" s="983">
        <f t="shared" si="4"/>
        <v>1.2</v>
      </c>
      <c r="J15" s="983">
        <f t="shared" si="5"/>
        <v>33.299999999999997</v>
      </c>
      <c r="K15" s="983">
        <f t="shared" si="3"/>
        <v>34.5</v>
      </c>
      <c r="L15" s="502"/>
    </row>
    <row r="16" spans="1:12" s="227" customFormat="1" ht="26.25" customHeight="1" x14ac:dyDescent="0.2">
      <c r="A16" s="233">
        <v>8</v>
      </c>
      <c r="B16" s="173" t="s">
        <v>654</v>
      </c>
      <c r="C16" s="982">
        <f>'AT_20_CentralCookingagency '!G18+'AT_20_CentralCookingagency '!K18</f>
        <v>0</v>
      </c>
      <c r="D16" s="982">
        <f>'AT_20_CentralCookingagency '!H18+'AT_20_CentralCookingagency '!L18</f>
        <v>0</v>
      </c>
      <c r="E16" s="982">
        <f>'AT_20_CentralCookingagency '!I18+'AT_20_CentralCookingagency '!M18</f>
        <v>0</v>
      </c>
      <c r="F16" s="982">
        <v>0</v>
      </c>
      <c r="G16" s="982">
        <v>0</v>
      </c>
      <c r="H16" s="982">
        <f t="shared" si="2"/>
        <v>0</v>
      </c>
      <c r="I16" s="983">
        <f t="shared" si="4"/>
        <v>0</v>
      </c>
      <c r="J16" s="983">
        <f t="shared" si="5"/>
        <v>0</v>
      </c>
      <c r="K16" s="983">
        <f t="shared" si="3"/>
        <v>0</v>
      </c>
      <c r="L16" s="502"/>
    </row>
    <row r="17" spans="1:12" s="227" customFormat="1" ht="26.25" customHeight="1" x14ac:dyDescent="0.2">
      <c r="A17" s="233">
        <v>9</v>
      </c>
      <c r="B17" s="173" t="s">
        <v>655</v>
      </c>
      <c r="C17" s="982">
        <f>'AT_20_CentralCookingagency '!G19+'AT_20_CentralCookingagency '!K19</f>
        <v>2</v>
      </c>
      <c r="D17" s="982">
        <f>'AT_20_CentralCookingagency '!H19+'AT_20_CentralCookingagency '!L19</f>
        <v>402</v>
      </c>
      <c r="E17" s="982">
        <f>'AT_20_CentralCookingagency '!I19+'AT_20_CentralCookingagency '!M19</f>
        <v>36500</v>
      </c>
      <c r="F17" s="982">
        <v>131</v>
      </c>
      <c r="G17" s="984">
        <v>141</v>
      </c>
      <c r="H17" s="982">
        <f t="shared" si="2"/>
        <v>272</v>
      </c>
      <c r="I17" s="983">
        <f t="shared" si="4"/>
        <v>13.1</v>
      </c>
      <c r="J17" s="983">
        <f t="shared" si="5"/>
        <v>14.1</v>
      </c>
      <c r="K17" s="983">
        <v>27.2</v>
      </c>
      <c r="L17" s="502"/>
    </row>
    <row r="18" spans="1:12" s="227" customFormat="1" ht="26.25" customHeight="1" x14ac:dyDescent="0.2">
      <c r="A18" s="233">
        <v>10</v>
      </c>
      <c r="B18" s="173" t="s">
        <v>656</v>
      </c>
      <c r="C18" s="982">
        <f>'AT_20_CentralCookingagency '!G20+'AT_20_CentralCookingagency '!K20</f>
        <v>3</v>
      </c>
      <c r="D18" s="982">
        <f>'AT_20_CentralCookingagency '!H20+'AT_20_CentralCookingagency '!L20</f>
        <v>503</v>
      </c>
      <c r="E18" s="982">
        <f>'AT_20_CentralCookingagency '!I20+'AT_20_CentralCookingagency '!M20</f>
        <v>37237</v>
      </c>
      <c r="F18" s="982">
        <v>135</v>
      </c>
      <c r="G18" s="984">
        <v>472</v>
      </c>
      <c r="H18" s="982">
        <f t="shared" si="2"/>
        <v>607</v>
      </c>
      <c r="I18" s="983">
        <f t="shared" si="4"/>
        <v>13.5</v>
      </c>
      <c r="J18" s="983">
        <f t="shared" si="5"/>
        <v>47.2</v>
      </c>
      <c r="K18" s="983">
        <f t="shared" si="3"/>
        <v>60.7</v>
      </c>
      <c r="L18" s="502"/>
    </row>
    <row r="19" spans="1:12" s="227" customFormat="1" ht="26.25" customHeight="1" x14ac:dyDescent="0.2">
      <c r="A19" s="233">
        <v>11</v>
      </c>
      <c r="B19" s="173" t="s">
        <v>657</v>
      </c>
      <c r="C19" s="982">
        <f>'AT_20_CentralCookingagency '!G21+'AT_20_CentralCookingagency '!K21</f>
        <v>1</v>
      </c>
      <c r="D19" s="982">
        <f>'AT_20_CentralCookingagency '!H21+'AT_20_CentralCookingagency '!L21</f>
        <v>122</v>
      </c>
      <c r="E19" s="982">
        <f>'AT_20_CentralCookingagency '!I21+'AT_20_CentralCookingagency '!M21</f>
        <v>16133</v>
      </c>
      <c r="F19" s="982">
        <v>17</v>
      </c>
      <c r="G19" s="982">
        <v>73</v>
      </c>
      <c r="H19" s="982">
        <f t="shared" si="2"/>
        <v>90</v>
      </c>
      <c r="I19" s="983">
        <f t="shared" si="4"/>
        <v>1.7</v>
      </c>
      <c r="J19" s="983">
        <f t="shared" si="5"/>
        <v>7.3</v>
      </c>
      <c r="K19" s="983">
        <f t="shared" si="3"/>
        <v>9</v>
      </c>
      <c r="L19" s="502"/>
    </row>
    <row r="20" spans="1:12" s="227" customFormat="1" ht="26.25" customHeight="1" x14ac:dyDescent="0.2">
      <c r="A20" s="233">
        <v>12</v>
      </c>
      <c r="B20" s="173" t="s">
        <v>658</v>
      </c>
      <c r="C20" s="982">
        <f>'AT_20_CentralCookingagency '!G22+'AT_20_CentralCookingagency '!K22</f>
        <v>4</v>
      </c>
      <c r="D20" s="982">
        <f>'AT_20_CentralCookingagency '!H22+'AT_20_CentralCookingagency '!L22</f>
        <v>110</v>
      </c>
      <c r="E20" s="982">
        <f>'AT_20_CentralCookingagency '!I22+'AT_20_CentralCookingagency '!M22</f>
        <v>21138</v>
      </c>
      <c r="F20" s="982">
        <v>65</v>
      </c>
      <c r="G20" s="984">
        <v>185</v>
      </c>
      <c r="H20" s="982">
        <f t="shared" si="2"/>
        <v>250</v>
      </c>
      <c r="I20" s="983">
        <f t="shared" si="4"/>
        <v>6.5</v>
      </c>
      <c r="J20" s="983">
        <f t="shared" si="5"/>
        <v>18.5</v>
      </c>
      <c r="K20" s="983">
        <f t="shared" si="3"/>
        <v>25</v>
      </c>
      <c r="L20" s="502"/>
    </row>
    <row r="21" spans="1:12" s="227" customFormat="1" ht="26.25" customHeight="1" x14ac:dyDescent="0.2">
      <c r="A21" s="233">
        <v>13</v>
      </c>
      <c r="B21" s="173" t="s">
        <v>659</v>
      </c>
      <c r="C21" s="982">
        <f>'AT_20_CentralCookingagency '!G23+'AT_20_CentralCookingagency '!K23</f>
        <v>0</v>
      </c>
      <c r="D21" s="982">
        <f>'AT_20_CentralCookingagency '!H23+'AT_20_CentralCookingagency '!L23</f>
        <v>0</v>
      </c>
      <c r="E21" s="982">
        <f>'AT_20_CentralCookingagency '!I23+'AT_20_CentralCookingagency '!M23</f>
        <v>0</v>
      </c>
      <c r="F21" s="982">
        <v>0</v>
      </c>
      <c r="G21" s="982">
        <v>0</v>
      </c>
      <c r="H21" s="982">
        <f t="shared" si="2"/>
        <v>0</v>
      </c>
      <c r="I21" s="983">
        <f t="shared" si="4"/>
        <v>0</v>
      </c>
      <c r="J21" s="983">
        <f t="shared" si="5"/>
        <v>0</v>
      </c>
      <c r="K21" s="983">
        <f t="shared" si="3"/>
        <v>0</v>
      </c>
      <c r="L21" s="502"/>
    </row>
    <row r="22" spans="1:12" s="228" customFormat="1" ht="26.25" customHeight="1" x14ac:dyDescent="0.2">
      <c r="A22" s="1414" t="s">
        <v>660</v>
      </c>
      <c r="B22" s="1414"/>
      <c r="C22" s="985">
        <f>SUM(C9:C21)</f>
        <v>18</v>
      </c>
      <c r="D22" s="985">
        <f t="shared" ref="D22:K22" si="6">SUM(D9:D21)</f>
        <v>1794</v>
      </c>
      <c r="E22" s="985">
        <f t="shared" si="6"/>
        <v>220107</v>
      </c>
      <c r="F22" s="985">
        <f t="shared" si="6"/>
        <v>755</v>
      </c>
      <c r="G22" s="985">
        <f t="shared" si="6"/>
        <v>1832</v>
      </c>
      <c r="H22" s="985">
        <f t="shared" si="6"/>
        <v>2587</v>
      </c>
      <c r="I22" s="985">
        <f t="shared" si="6"/>
        <v>75.500000000000014</v>
      </c>
      <c r="J22" s="1043">
        <f t="shared" si="6"/>
        <v>183.2</v>
      </c>
      <c r="K22" s="1043">
        <f t="shared" si="6"/>
        <v>258.7</v>
      </c>
      <c r="L22" s="231">
        <f t="shared" ref="L22" si="7">SUM(L9:L21)</f>
        <v>0</v>
      </c>
    </row>
    <row r="23" spans="1:12" s="227" customFormat="1" ht="15.75" customHeight="1" x14ac:dyDescent="0.2">
      <c r="A23" s="228"/>
      <c r="B23" s="228"/>
      <c r="C23" s="228"/>
      <c r="D23" s="228"/>
      <c r="E23" s="228"/>
      <c r="F23" s="228"/>
    </row>
    <row r="24" spans="1:12" s="227" customFormat="1" ht="60" customHeight="1" x14ac:dyDescent="0.2">
      <c r="A24" s="1332" t="s">
        <v>676</v>
      </c>
      <c r="B24" s="1332"/>
      <c r="C24" s="234"/>
      <c r="D24" s="235"/>
      <c r="I24" s="1415" t="s">
        <v>646</v>
      </c>
      <c r="J24" s="1415"/>
      <c r="K24" s="1415"/>
      <c r="L24" s="1415"/>
    </row>
  </sheetData>
  <mergeCells count="13">
    <mergeCell ref="I24:L24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A22:B22"/>
    <mergeCell ref="A24:B24"/>
  </mergeCells>
  <printOptions horizontalCentered="1"/>
  <pageMargins left="0.70866141732283472" right="7.874015748031496E-2" top="0.23622047244094491" bottom="0" header="7.874015748031496E-2" footer="7.874015748031496E-2"/>
  <pageSetup paperSize="9" scale="8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5" tint="0.59999389629810485"/>
  </sheetPr>
  <dimension ref="A1:O24"/>
  <sheetViews>
    <sheetView view="pageBreakPreview" topLeftCell="A5" zoomScale="80" zoomScaleSheetLayoutView="80" workbookViewId="0">
      <selection activeCell="C32" sqref="C32"/>
    </sheetView>
  </sheetViews>
  <sheetFormatPr defaultRowHeight="12.75" x14ac:dyDescent="0.2"/>
  <cols>
    <col min="1" max="1" width="7.85546875" customWidth="1"/>
    <col min="2" max="2" width="15.85546875" customWidth="1"/>
    <col min="4" max="4" width="9.85546875" customWidth="1"/>
    <col min="7" max="7" width="12.28515625" customWidth="1"/>
    <col min="8" max="15" width="10.42578125" customWidth="1"/>
  </cols>
  <sheetData>
    <row r="1" spans="1:15" ht="18" x14ac:dyDescent="0.35">
      <c r="A1" s="1420" t="s">
        <v>0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74" t="s">
        <v>513</v>
      </c>
    </row>
    <row r="2" spans="1:15" ht="21" x14ac:dyDescent="0.35">
      <c r="A2" s="1421" t="s">
        <v>793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</row>
    <row r="3" spans="1:15" ht="15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5" ht="18" x14ac:dyDescent="0.35">
      <c r="A4" s="1420" t="s">
        <v>512</v>
      </c>
      <c r="B4" s="1420"/>
      <c r="C4" s="1420"/>
      <c r="D4" s="1420"/>
      <c r="E4" s="1420"/>
      <c r="F4" s="1420"/>
      <c r="G4" s="1420"/>
      <c r="H4" s="1420"/>
      <c r="I4" s="1420"/>
      <c r="J4" s="1420"/>
      <c r="K4" s="1420"/>
      <c r="L4" s="1420"/>
      <c r="M4" s="1420"/>
      <c r="N4" s="1420"/>
      <c r="O4" s="1420"/>
    </row>
    <row r="5" spans="1:15" ht="21.75" customHeight="1" x14ac:dyDescent="0.3">
      <c r="A5" s="69" t="s">
        <v>687</v>
      </c>
      <c r="B5" s="69"/>
      <c r="C5" s="69"/>
      <c r="D5" s="69"/>
      <c r="E5" s="69"/>
      <c r="F5" s="69"/>
      <c r="G5" s="69"/>
      <c r="H5" s="69"/>
      <c r="I5" s="69"/>
      <c r="J5" s="69"/>
      <c r="K5" s="68"/>
      <c r="M5" s="1509" t="s">
        <v>924</v>
      </c>
      <c r="N5" s="1509"/>
      <c r="O5" s="1509"/>
    </row>
    <row r="6" spans="1:15" s="109" customFormat="1" ht="48.75" customHeight="1" x14ac:dyDescent="0.2">
      <c r="A6" s="1416" t="s">
        <v>2</v>
      </c>
      <c r="B6" s="1416" t="s">
        <v>3</v>
      </c>
      <c r="C6" s="1416" t="s">
        <v>295</v>
      </c>
      <c r="D6" s="1486" t="s">
        <v>296</v>
      </c>
      <c r="E6" s="1486" t="s">
        <v>297</v>
      </c>
      <c r="F6" s="1486" t="s">
        <v>298</v>
      </c>
      <c r="G6" s="1486" t="s">
        <v>299</v>
      </c>
      <c r="H6" s="1416" t="s">
        <v>300</v>
      </c>
      <c r="I6" s="1416"/>
      <c r="J6" s="1416" t="s">
        <v>301</v>
      </c>
      <c r="K6" s="1416"/>
      <c r="L6" s="1416" t="s">
        <v>302</v>
      </c>
      <c r="M6" s="1416"/>
      <c r="N6" s="1416" t="s">
        <v>303</v>
      </c>
      <c r="O6" s="1416"/>
    </row>
    <row r="7" spans="1:15" s="109" customFormat="1" ht="60.75" customHeight="1" x14ac:dyDescent="0.2">
      <c r="A7" s="1416"/>
      <c r="B7" s="1416"/>
      <c r="C7" s="1416"/>
      <c r="D7" s="1487"/>
      <c r="E7" s="1487"/>
      <c r="F7" s="1487"/>
      <c r="G7" s="1487"/>
      <c r="H7" s="986" t="s">
        <v>304</v>
      </c>
      <c r="I7" s="986" t="s">
        <v>305</v>
      </c>
      <c r="J7" s="986" t="s">
        <v>304</v>
      </c>
      <c r="K7" s="986" t="s">
        <v>305</v>
      </c>
      <c r="L7" s="986" t="s">
        <v>304</v>
      </c>
      <c r="M7" s="986" t="s">
        <v>305</v>
      </c>
      <c r="N7" s="986" t="s">
        <v>304</v>
      </c>
      <c r="O7" s="986" t="s">
        <v>305</v>
      </c>
    </row>
    <row r="8" spans="1:15" ht="15" x14ac:dyDescent="0.2">
      <c r="A8" s="70" t="s">
        <v>248</v>
      </c>
      <c r="B8" s="70" t="s">
        <v>249</v>
      </c>
      <c r="C8" s="70" t="s">
        <v>250</v>
      </c>
      <c r="D8" s="70" t="s">
        <v>251</v>
      </c>
      <c r="E8" s="70" t="s">
        <v>252</v>
      </c>
      <c r="F8" s="70" t="s">
        <v>253</v>
      </c>
      <c r="G8" s="70" t="s">
        <v>254</v>
      </c>
      <c r="H8" s="70" t="s">
        <v>255</v>
      </c>
      <c r="I8" s="70" t="s">
        <v>276</v>
      </c>
      <c r="J8" s="70" t="s">
        <v>277</v>
      </c>
      <c r="K8" s="70" t="s">
        <v>278</v>
      </c>
      <c r="L8" s="70" t="s">
        <v>306</v>
      </c>
      <c r="M8" s="70" t="s">
        <v>307</v>
      </c>
      <c r="N8" s="70" t="s">
        <v>308</v>
      </c>
      <c r="O8" s="70" t="s">
        <v>309</v>
      </c>
    </row>
    <row r="9" spans="1:15" s="227" customFormat="1" ht="21" customHeight="1" x14ac:dyDescent="0.2">
      <c r="A9" s="233">
        <v>1</v>
      </c>
      <c r="B9" s="173" t="s">
        <v>647</v>
      </c>
      <c r="C9" s="847" t="s">
        <v>7</v>
      </c>
      <c r="D9" s="847" t="s">
        <v>7</v>
      </c>
      <c r="E9" s="847" t="s">
        <v>7</v>
      </c>
      <c r="F9" s="847" t="s">
        <v>7</v>
      </c>
      <c r="G9" s="847" t="s">
        <v>7</v>
      </c>
      <c r="H9" s="847" t="s">
        <v>7</v>
      </c>
      <c r="I9" s="847" t="s">
        <v>7</v>
      </c>
      <c r="J9" s="847" t="s">
        <v>7</v>
      </c>
      <c r="K9" s="847" t="s">
        <v>7</v>
      </c>
      <c r="L9" s="847" t="s">
        <v>7</v>
      </c>
      <c r="M9" s="847" t="s">
        <v>7</v>
      </c>
      <c r="N9" s="847" t="s">
        <v>7</v>
      </c>
      <c r="O9" s="847" t="s">
        <v>7</v>
      </c>
    </row>
    <row r="10" spans="1:15" s="227" customFormat="1" ht="21" customHeight="1" x14ac:dyDescent="0.2">
      <c r="A10" s="233">
        <v>2</v>
      </c>
      <c r="B10" s="173" t="s">
        <v>648</v>
      </c>
      <c r="C10" s="847" t="s">
        <v>7</v>
      </c>
      <c r="D10" s="847" t="s">
        <v>7</v>
      </c>
      <c r="E10" s="847" t="s">
        <v>7</v>
      </c>
      <c r="F10" s="847" t="s">
        <v>7</v>
      </c>
      <c r="G10" s="847" t="s">
        <v>7</v>
      </c>
      <c r="H10" s="847" t="s">
        <v>7</v>
      </c>
      <c r="I10" s="847" t="s">
        <v>7</v>
      </c>
      <c r="J10" s="847" t="s">
        <v>7</v>
      </c>
      <c r="K10" s="847" t="s">
        <v>7</v>
      </c>
      <c r="L10" s="847" t="s">
        <v>7</v>
      </c>
      <c r="M10" s="847" t="s">
        <v>7</v>
      </c>
      <c r="N10" s="847" t="s">
        <v>7</v>
      </c>
      <c r="O10" s="847" t="s">
        <v>7</v>
      </c>
    </row>
    <row r="11" spans="1:15" s="227" customFormat="1" ht="21" customHeight="1" x14ac:dyDescent="0.2">
      <c r="A11" s="233">
        <v>3</v>
      </c>
      <c r="B11" s="173" t="s">
        <v>649</v>
      </c>
      <c r="C11" s="847" t="s">
        <v>7</v>
      </c>
      <c r="D11" s="847" t="s">
        <v>7</v>
      </c>
      <c r="E11" s="847" t="s">
        <v>7</v>
      </c>
      <c r="F11" s="847" t="s">
        <v>7</v>
      </c>
      <c r="G11" s="847" t="s">
        <v>7</v>
      </c>
      <c r="H11" s="847" t="s">
        <v>7</v>
      </c>
      <c r="I11" s="847" t="s">
        <v>7</v>
      </c>
      <c r="J11" s="847" t="s">
        <v>7</v>
      </c>
      <c r="K11" s="847" t="s">
        <v>7</v>
      </c>
      <c r="L11" s="847" t="s">
        <v>7</v>
      </c>
      <c r="M11" s="847" t="s">
        <v>7</v>
      </c>
      <c r="N11" s="847" t="s">
        <v>7</v>
      </c>
      <c r="O11" s="847" t="s">
        <v>7</v>
      </c>
    </row>
    <row r="12" spans="1:15" s="227" customFormat="1" ht="21" customHeight="1" x14ac:dyDescent="0.2">
      <c r="A12" s="233">
        <v>4</v>
      </c>
      <c r="B12" s="173" t="s">
        <v>650</v>
      </c>
      <c r="C12" s="847" t="s">
        <v>7</v>
      </c>
      <c r="D12" s="847" t="s">
        <v>7</v>
      </c>
      <c r="E12" s="847" t="s">
        <v>7</v>
      </c>
      <c r="F12" s="847" t="s">
        <v>7</v>
      </c>
      <c r="G12" s="847" t="s">
        <v>7</v>
      </c>
      <c r="H12" s="847" t="s">
        <v>7</v>
      </c>
      <c r="I12" s="847" t="s">
        <v>7</v>
      </c>
      <c r="J12" s="847" t="s">
        <v>7</v>
      </c>
      <c r="K12" s="847" t="s">
        <v>7</v>
      </c>
      <c r="L12" s="847" t="s">
        <v>7</v>
      </c>
      <c r="M12" s="847" t="s">
        <v>7</v>
      </c>
      <c r="N12" s="847" t="s">
        <v>7</v>
      </c>
      <c r="O12" s="847" t="s">
        <v>7</v>
      </c>
    </row>
    <row r="13" spans="1:15" s="227" customFormat="1" ht="29.25" customHeight="1" x14ac:dyDescent="0.2">
      <c r="A13" s="233">
        <v>5</v>
      </c>
      <c r="B13" s="173" t="s">
        <v>651</v>
      </c>
      <c r="C13" s="118">
        <v>1</v>
      </c>
      <c r="D13" s="857" t="s">
        <v>902</v>
      </c>
      <c r="E13" s="118">
        <v>54</v>
      </c>
      <c r="F13" s="118">
        <v>20912</v>
      </c>
      <c r="G13" s="287" t="s">
        <v>901</v>
      </c>
      <c r="H13" s="858">
        <f>F13*150*220/1000000</f>
        <v>690.096</v>
      </c>
      <c r="I13" s="858">
        <v>690.096</v>
      </c>
      <c r="J13" s="859">
        <f>F13*6.18*220/100000</f>
        <v>284.31955199999999</v>
      </c>
      <c r="K13" s="859">
        <v>284.31955199999999</v>
      </c>
      <c r="L13" s="859">
        <v>18.7</v>
      </c>
      <c r="M13" s="859">
        <v>18.7</v>
      </c>
      <c r="N13" s="847" t="s">
        <v>7</v>
      </c>
      <c r="O13" s="847" t="s">
        <v>7</v>
      </c>
    </row>
    <row r="14" spans="1:15" s="227" customFormat="1" ht="21" customHeight="1" x14ac:dyDescent="0.2">
      <c r="A14" s="233">
        <v>6</v>
      </c>
      <c r="B14" s="173" t="s">
        <v>652</v>
      </c>
      <c r="C14" s="847" t="s">
        <v>7</v>
      </c>
      <c r="D14" s="847" t="s">
        <v>7</v>
      </c>
      <c r="E14" s="847" t="s">
        <v>7</v>
      </c>
      <c r="F14" s="847" t="s">
        <v>7</v>
      </c>
      <c r="G14" s="847" t="s">
        <v>7</v>
      </c>
      <c r="H14" s="847" t="s">
        <v>7</v>
      </c>
      <c r="I14" s="847" t="s">
        <v>7</v>
      </c>
      <c r="J14" s="847" t="s">
        <v>7</v>
      </c>
      <c r="K14" s="847" t="s">
        <v>7</v>
      </c>
      <c r="L14" s="847" t="s">
        <v>7</v>
      </c>
      <c r="M14" s="847" t="s">
        <v>7</v>
      </c>
      <c r="N14" s="847" t="s">
        <v>7</v>
      </c>
      <c r="O14" s="847" t="s">
        <v>7</v>
      </c>
    </row>
    <row r="15" spans="1:15" s="227" customFormat="1" ht="21" customHeight="1" x14ac:dyDescent="0.2">
      <c r="A15" s="233">
        <v>7</v>
      </c>
      <c r="B15" s="173" t="s">
        <v>653</v>
      </c>
      <c r="C15" s="847" t="s">
        <v>7</v>
      </c>
      <c r="D15" s="847" t="s">
        <v>7</v>
      </c>
      <c r="E15" s="847" t="s">
        <v>7</v>
      </c>
      <c r="F15" s="847" t="s">
        <v>7</v>
      </c>
      <c r="G15" s="847" t="s">
        <v>7</v>
      </c>
      <c r="H15" s="847" t="s">
        <v>7</v>
      </c>
      <c r="I15" s="847" t="s">
        <v>7</v>
      </c>
      <c r="J15" s="847" t="s">
        <v>7</v>
      </c>
      <c r="K15" s="847" t="s">
        <v>7</v>
      </c>
      <c r="L15" s="847" t="s">
        <v>7</v>
      </c>
      <c r="M15" s="847" t="s">
        <v>7</v>
      </c>
      <c r="N15" s="847" t="s">
        <v>7</v>
      </c>
      <c r="O15" s="847" t="s">
        <v>7</v>
      </c>
    </row>
    <row r="16" spans="1:15" s="227" customFormat="1" ht="21" customHeight="1" x14ac:dyDescent="0.2">
      <c r="A16" s="233">
        <v>8</v>
      </c>
      <c r="B16" s="173" t="s">
        <v>654</v>
      </c>
      <c r="C16" s="847" t="s">
        <v>7</v>
      </c>
      <c r="D16" s="847" t="s">
        <v>7</v>
      </c>
      <c r="E16" s="847" t="s">
        <v>7</v>
      </c>
      <c r="F16" s="847" t="s">
        <v>7</v>
      </c>
      <c r="G16" s="847" t="s">
        <v>7</v>
      </c>
      <c r="H16" s="847" t="s">
        <v>7</v>
      </c>
      <c r="I16" s="847" t="s">
        <v>7</v>
      </c>
      <c r="J16" s="847" t="s">
        <v>7</v>
      </c>
      <c r="K16" s="847" t="s">
        <v>7</v>
      </c>
      <c r="L16" s="847" t="s">
        <v>7</v>
      </c>
      <c r="M16" s="847" t="s">
        <v>7</v>
      </c>
      <c r="N16" s="847" t="s">
        <v>7</v>
      </c>
      <c r="O16" s="847" t="s">
        <v>7</v>
      </c>
    </row>
    <row r="17" spans="1:15" s="227" customFormat="1" ht="21" customHeight="1" x14ac:dyDescent="0.2">
      <c r="A17" s="233">
        <v>9</v>
      </c>
      <c r="B17" s="173" t="s">
        <v>655</v>
      </c>
      <c r="C17" s="847" t="s">
        <v>7</v>
      </c>
      <c r="D17" s="847" t="s">
        <v>7</v>
      </c>
      <c r="E17" s="847" t="s">
        <v>7</v>
      </c>
      <c r="F17" s="847" t="s">
        <v>7</v>
      </c>
      <c r="G17" s="847" t="s">
        <v>7</v>
      </c>
      <c r="H17" s="847" t="s">
        <v>7</v>
      </c>
      <c r="I17" s="847" t="s">
        <v>7</v>
      </c>
      <c r="J17" s="847" t="s">
        <v>7</v>
      </c>
      <c r="K17" s="847" t="s">
        <v>7</v>
      </c>
      <c r="L17" s="847" t="s">
        <v>7</v>
      </c>
      <c r="M17" s="847" t="s">
        <v>7</v>
      </c>
      <c r="N17" s="847" t="s">
        <v>7</v>
      </c>
      <c r="O17" s="847" t="s">
        <v>7</v>
      </c>
    </row>
    <row r="18" spans="1:15" s="227" customFormat="1" ht="21" customHeight="1" x14ac:dyDescent="0.2">
      <c r="A18" s="233">
        <v>10</v>
      </c>
      <c r="B18" s="173" t="s">
        <v>656</v>
      </c>
      <c r="C18" s="855">
        <v>1</v>
      </c>
      <c r="D18" s="855" t="s">
        <v>899</v>
      </c>
      <c r="E18" s="855">
        <v>472</v>
      </c>
      <c r="F18" s="856">
        <v>32873</v>
      </c>
      <c r="G18" s="855" t="s">
        <v>900</v>
      </c>
      <c r="H18" s="860">
        <v>391.8</v>
      </c>
      <c r="I18" s="860">
        <v>391.8</v>
      </c>
      <c r="J18" s="855">
        <v>154.76</v>
      </c>
      <c r="K18" s="855">
        <v>154.76</v>
      </c>
      <c r="L18" s="855">
        <f>607*1000*8/100000</f>
        <v>48.56</v>
      </c>
      <c r="M18" s="855">
        <v>48.56</v>
      </c>
      <c r="N18" s="847" t="s">
        <v>7</v>
      </c>
      <c r="O18" s="847" t="s">
        <v>7</v>
      </c>
    </row>
    <row r="19" spans="1:15" s="227" customFormat="1" ht="21" customHeight="1" x14ac:dyDescent="0.2">
      <c r="A19" s="233">
        <v>11</v>
      </c>
      <c r="B19" s="173" t="s">
        <v>657</v>
      </c>
      <c r="C19" s="847" t="s">
        <v>7</v>
      </c>
      <c r="D19" s="847" t="s">
        <v>7</v>
      </c>
      <c r="E19" s="847" t="s">
        <v>7</v>
      </c>
      <c r="F19" s="847" t="s">
        <v>7</v>
      </c>
      <c r="G19" s="847" t="s">
        <v>7</v>
      </c>
      <c r="H19" s="847" t="s">
        <v>7</v>
      </c>
      <c r="I19" s="847" t="s">
        <v>7</v>
      </c>
      <c r="J19" s="847" t="s">
        <v>7</v>
      </c>
      <c r="K19" s="847" t="s">
        <v>7</v>
      </c>
      <c r="L19" s="847" t="s">
        <v>7</v>
      </c>
      <c r="M19" s="847" t="s">
        <v>7</v>
      </c>
      <c r="N19" s="847" t="s">
        <v>7</v>
      </c>
      <c r="O19" s="847" t="s">
        <v>7</v>
      </c>
    </row>
    <row r="20" spans="1:15" s="227" customFormat="1" ht="21" customHeight="1" x14ac:dyDescent="0.2">
      <c r="A20" s="233">
        <v>12</v>
      </c>
      <c r="B20" s="173" t="s">
        <v>658</v>
      </c>
      <c r="C20" s="847" t="s">
        <v>7</v>
      </c>
      <c r="D20" s="847" t="s">
        <v>7</v>
      </c>
      <c r="E20" s="847" t="s">
        <v>7</v>
      </c>
      <c r="F20" s="847" t="s">
        <v>7</v>
      </c>
      <c r="G20" s="847" t="s">
        <v>7</v>
      </c>
      <c r="H20" s="847" t="s">
        <v>7</v>
      </c>
      <c r="I20" s="847" t="s">
        <v>7</v>
      </c>
      <c r="J20" s="847" t="s">
        <v>7</v>
      </c>
      <c r="K20" s="847" t="s">
        <v>7</v>
      </c>
      <c r="L20" s="847" t="s">
        <v>7</v>
      </c>
      <c r="M20" s="847" t="s">
        <v>7</v>
      </c>
      <c r="N20" s="847" t="s">
        <v>7</v>
      </c>
      <c r="O20" s="847" t="s">
        <v>7</v>
      </c>
    </row>
    <row r="21" spans="1:15" s="227" customFormat="1" ht="21" customHeight="1" x14ac:dyDescent="0.2">
      <c r="A21" s="233">
        <v>13</v>
      </c>
      <c r="B21" s="173" t="s">
        <v>659</v>
      </c>
      <c r="C21" s="847" t="s">
        <v>7</v>
      </c>
      <c r="D21" s="847" t="s">
        <v>7</v>
      </c>
      <c r="E21" s="847" t="s">
        <v>7</v>
      </c>
      <c r="F21" s="847" t="s">
        <v>7</v>
      </c>
      <c r="G21" s="847" t="s">
        <v>7</v>
      </c>
      <c r="H21" s="847" t="s">
        <v>7</v>
      </c>
      <c r="I21" s="847" t="s">
        <v>7</v>
      </c>
      <c r="J21" s="847" t="s">
        <v>7</v>
      </c>
      <c r="K21" s="847" t="s">
        <v>7</v>
      </c>
      <c r="L21" s="847" t="s">
        <v>7</v>
      </c>
      <c r="M21" s="847" t="s">
        <v>7</v>
      </c>
      <c r="N21" s="847" t="s">
        <v>7</v>
      </c>
      <c r="O21" s="847" t="s">
        <v>7</v>
      </c>
    </row>
    <row r="22" spans="1:15" s="228" customFormat="1" ht="21" customHeight="1" x14ac:dyDescent="0.2">
      <c r="A22" s="1414" t="s">
        <v>660</v>
      </c>
      <c r="B22" s="1414"/>
      <c r="C22" s="842">
        <f>SUM(C9:C21)</f>
        <v>2</v>
      </c>
      <c r="D22" s="847" t="s">
        <v>7</v>
      </c>
      <c r="E22" s="842">
        <f>SUM(E9:E21)</f>
        <v>526</v>
      </c>
      <c r="F22" s="1042">
        <f>SUM(F9:F21)</f>
        <v>53785</v>
      </c>
      <c r="G22" s="847" t="s">
        <v>7</v>
      </c>
      <c r="H22" s="861">
        <f>SUM(H9:H21)</f>
        <v>1081.896</v>
      </c>
      <c r="I22" s="861">
        <f>SUM(I9:I21)</f>
        <v>1081.896</v>
      </c>
      <c r="J22" s="608">
        <f t="shared" ref="J22:O22" si="0">SUM(J9:J21)</f>
        <v>439.07955199999998</v>
      </c>
      <c r="K22" s="608">
        <f t="shared" si="0"/>
        <v>439.07955199999998</v>
      </c>
      <c r="L22" s="608">
        <f t="shared" si="0"/>
        <v>67.260000000000005</v>
      </c>
      <c r="M22" s="608">
        <f t="shared" si="0"/>
        <v>67.260000000000005</v>
      </c>
      <c r="N22" s="608">
        <f t="shared" si="0"/>
        <v>0</v>
      </c>
      <c r="O22" s="608">
        <f t="shared" si="0"/>
        <v>0</v>
      </c>
    </row>
    <row r="23" spans="1:15" s="227" customFormat="1" ht="15.75" customHeight="1" x14ac:dyDescent="0.2">
      <c r="A23" s="228"/>
      <c r="B23" s="228"/>
      <c r="C23" s="228"/>
      <c r="D23" s="228"/>
      <c r="E23" s="228"/>
      <c r="F23" s="228"/>
      <c r="G23" s="228"/>
      <c r="H23" s="228"/>
    </row>
    <row r="24" spans="1:15" s="227" customFormat="1" ht="60" customHeight="1" x14ac:dyDescent="0.2">
      <c r="A24" s="1332" t="s">
        <v>676</v>
      </c>
      <c r="B24" s="1332"/>
      <c r="C24" s="234"/>
      <c r="D24" s="235"/>
      <c r="E24" s="235"/>
      <c r="L24" s="1415" t="s">
        <v>646</v>
      </c>
      <c r="M24" s="1415"/>
      <c r="N24" s="1415"/>
      <c r="O24" s="1415"/>
    </row>
  </sheetData>
  <mergeCells count="18">
    <mergeCell ref="A22:B22"/>
    <mergeCell ref="A24:B24"/>
    <mergeCell ref="L24:O24"/>
    <mergeCell ref="G6:G7"/>
    <mergeCell ref="H6:I6"/>
    <mergeCell ref="J6:K6"/>
    <mergeCell ref="L6:M6"/>
    <mergeCell ref="N6:O6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55118110236220474" right="7.874015748031496E-2" top="0.23622047244094491" bottom="0.19685039370078741" header="7.874015748031496E-2" footer="3.937007874015748E-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2:IV36"/>
  <sheetViews>
    <sheetView view="pageBreakPreview" topLeftCell="B10" zoomScale="86" zoomScaleSheetLayoutView="86" workbookViewId="0">
      <selection activeCell="J17" sqref="J17"/>
    </sheetView>
  </sheetViews>
  <sheetFormatPr defaultColWidth="9.140625" defaultRowHeight="12.75" x14ac:dyDescent="0.2"/>
  <cols>
    <col min="1" max="1" width="4.85546875" style="87" customWidth="1"/>
    <col min="2" max="2" width="22.28515625" style="87" customWidth="1"/>
    <col min="3" max="3" width="9.5703125" style="87" customWidth="1"/>
    <col min="4" max="4" width="8.28515625" style="87" customWidth="1"/>
    <col min="5" max="5" width="9.140625" style="87" customWidth="1"/>
    <col min="6" max="6" width="10.7109375" style="87" customWidth="1"/>
    <col min="7" max="7" width="9.7109375" style="87" customWidth="1"/>
    <col min="8" max="8" width="9.28515625" style="87" customWidth="1"/>
    <col min="9" max="9" width="8.7109375" style="87" customWidth="1"/>
    <col min="10" max="11" width="9.7109375" style="87" customWidth="1"/>
    <col min="12" max="12" width="9.140625" style="87" customWidth="1"/>
    <col min="13" max="13" width="9.28515625" style="87" customWidth="1"/>
    <col min="14" max="15" width="9.7109375" style="87" customWidth="1"/>
    <col min="16" max="16" width="9.42578125" style="87" customWidth="1"/>
    <col min="17" max="17" width="9" style="87" customWidth="1"/>
    <col min="18" max="18" width="9.85546875" style="87" customWidth="1"/>
    <col min="19" max="19" width="10.5703125" style="87" customWidth="1"/>
    <col min="20" max="20" width="9.85546875" style="87" customWidth="1"/>
    <col min="21" max="21" width="9.5703125" style="87" customWidth="1"/>
    <col min="22" max="22" width="10.42578125" style="87" customWidth="1"/>
    <col min="23" max="27" width="9.140625" style="87"/>
    <col min="28" max="28" width="11" style="87" customWidth="1"/>
    <col min="29" max="30" width="8.85546875" style="87" hidden="1" customWidth="1"/>
    <col min="31" max="16384" width="9.140625" style="87"/>
  </cols>
  <sheetData>
    <row r="2" spans="1:256" x14ac:dyDescent="0.2">
      <c r="G2" s="1146"/>
      <c r="H2" s="1146"/>
      <c r="I2" s="1146"/>
      <c r="J2" s="1146"/>
      <c r="K2" s="1146"/>
      <c r="L2" s="1146"/>
      <c r="M2" s="1146"/>
      <c r="N2" s="1146"/>
      <c r="O2" s="1146"/>
      <c r="P2" s="303"/>
      <c r="Q2" s="303"/>
      <c r="R2" s="303"/>
      <c r="T2" s="351" t="s">
        <v>51</v>
      </c>
    </row>
    <row r="3" spans="1:256" ht="15" x14ac:dyDescent="0.25">
      <c r="A3" s="1147" t="s">
        <v>49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  <c r="T3" s="1147"/>
      <c r="U3" s="1147"/>
    </row>
    <row r="4" spans="1:256" ht="15.75" x14ac:dyDescent="0.25">
      <c r="A4" s="1148" t="s">
        <v>793</v>
      </c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48"/>
      <c r="R4" s="1148"/>
      <c r="S4" s="1148"/>
      <c r="T4" s="1148"/>
      <c r="U4" s="1148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352"/>
      <c r="FT4" s="352"/>
      <c r="FU4" s="352"/>
      <c r="FV4" s="352"/>
      <c r="FW4" s="352"/>
      <c r="FX4" s="352"/>
      <c r="FY4" s="352"/>
      <c r="FZ4" s="352"/>
      <c r="GA4" s="352"/>
      <c r="GB4" s="352"/>
      <c r="GC4" s="352"/>
      <c r="GD4" s="352"/>
      <c r="GE4" s="352"/>
      <c r="GF4" s="352"/>
      <c r="GG4" s="352"/>
      <c r="GH4" s="352"/>
      <c r="GI4" s="352"/>
      <c r="GJ4" s="352"/>
      <c r="GK4" s="352"/>
      <c r="GL4" s="352"/>
      <c r="GM4" s="352"/>
      <c r="GN4" s="352"/>
      <c r="GO4" s="352"/>
      <c r="GP4" s="352"/>
      <c r="GQ4" s="352"/>
      <c r="GR4" s="352"/>
      <c r="GS4" s="352"/>
      <c r="GT4" s="352"/>
      <c r="GU4" s="352"/>
      <c r="GV4" s="352"/>
      <c r="GW4" s="352"/>
      <c r="GX4" s="352"/>
      <c r="GY4" s="352"/>
      <c r="GZ4" s="352"/>
      <c r="HA4" s="352"/>
      <c r="HB4" s="352"/>
      <c r="HC4" s="352"/>
      <c r="HD4" s="352"/>
      <c r="HE4" s="352"/>
      <c r="HF4" s="352"/>
      <c r="HG4" s="352"/>
      <c r="HH4" s="352"/>
      <c r="HI4" s="352"/>
      <c r="HJ4" s="352"/>
      <c r="HK4" s="352"/>
      <c r="HL4" s="352"/>
      <c r="HM4" s="352"/>
      <c r="HN4" s="352"/>
      <c r="HO4" s="352"/>
      <c r="HP4" s="352"/>
      <c r="HQ4" s="352"/>
      <c r="HR4" s="352"/>
      <c r="HS4" s="352"/>
      <c r="HT4" s="352"/>
      <c r="HU4" s="352"/>
      <c r="HV4" s="352"/>
      <c r="HW4" s="352"/>
      <c r="HX4" s="352"/>
      <c r="HY4" s="352"/>
      <c r="HZ4" s="352"/>
      <c r="IA4" s="352"/>
      <c r="IB4" s="352"/>
      <c r="IC4" s="352"/>
      <c r="ID4" s="352"/>
      <c r="IE4" s="352"/>
      <c r="IF4" s="352"/>
      <c r="IG4" s="352"/>
      <c r="IH4" s="352"/>
      <c r="II4" s="352"/>
      <c r="IJ4" s="352"/>
      <c r="IK4" s="352"/>
      <c r="IL4" s="352"/>
      <c r="IM4" s="352"/>
      <c r="IN4" s="352"/>
      <c r="IO4" s="352"/>
      <c r="IP4" s="352"/>
      <c r="IQ4" s="352"/>
      <c r="IR4" s="352"/>
      <c r="IS4" s="352"/>
      <c r="IT4" s="352"/>
      <c r="IU4" s="352"/>
      <c r="IV4" s="352"/>
    </row>
    <row r="6" spans="1:256" ht="15" x14ac:dyDescent="0.25">
      <c r="A6" s="1149" t="s">
        <v>802</v>
      </c>
      <c r="B6" s="1149"/>
      <c r="C6" s="1149"/>
      <c r="D6" s="1149"/>
      <c r="E6" s="1149"/>
      <c r="F6" s="1149"/>
      <c r="G6" s="1149"/>
      <c r="H6" s="1149"/>
      <c r="I6" s="1149"/>
      <c r="J6" s="1149"/>
      <c r="K6" s="1149"/>
      <c r="L6" s="1149"/>
      <c r="M6" s="1149"/>
      <c r="N6" s="1149"/>
      <c r="O6" s="1149"/>
      <c r="P6" s="1149"/>
      <c r="Q6" s="1149"/>
      <c r="R6" s="1149"/>
      <c r="S6" s="1149"/>
      <c r="T6" s="1149"/>
      <c r="U6" s="1149"/>
    </row>
    <row r="7" spans="1:256" ht="15.75" x14ac:dyDescent="0.25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</row>
    <row r="8" spans="1:256" ht="15.75" x14ac:dyDescent="0.25">
      <c r="A8" s="1145" t="s">
        <v>662</v>
      </c>
      <c r="B8" s="1145"/>
      <c r="C8" s="1145"/>
      <c r="D8" s="302"/>
      <c r="E8" s="302"/>
      <c r="F8" s="302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</row>
    <row r="10" spans="1:256" ht="15" x14ac:dyDescent="0.25">
      <c r="U10" s="1164" t="s">
        <v>444</v>
      </c>
      <c r="V10" s="1164"/>
      <c r="W10" s="78"/>
      <c r="X10" s="78"/>
      <c r="Y10" s="78"/>
      <c r="Z10" s="78"/>
      <c r="AA10" s="78"/>
      <c r="AB10" s="1150"/>
      <c r="AC10" s="1150"/>
      <c r="AD10" s="1150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12.75" customHeight="1" x14ac:dyDescent="0.2">
      <c r="A11" s="1139" t="s">
        <v>2</v>
      </c>
      <c r="B11" s="1139" t="s">
        <v>101</v>
      </c>
      <c r="C11" s="1151" t="s">
        <v>143</v>
      </c>
      <c r="D11" s="1152"/>
      <c r="E11" s="1152"/>
      <c r="F11" s="1153"/>
      <c r="G11" s="1161" t="s">
        <v>946</v>
      </c>
      <c r="H11" s="1162"/>
      <c r="I11" s="1162"/>
      <c r="J11" s="1162"/>
      <c r="K11" s="1162"/>
      <c r="L11" s="1162"/>
      <c r="M11" s="1162"/>
      <c r="N11" s="1162"/>
      <c r="O11" s="1162"/>
      <c r="P11" s="1162"/>
      <c r="Q11" s="1162"/>
      <c r="R11" s="1163"/>
      <c r="S11" s="1131" t="s">
        <v>233</v>
      </c>
      <c r="T11" s="1132"/>
      <c r="U11" s="1132"/>
      <c r="V11" s="1132"/>
      <c r="W11" s="307"/>
      <c r="X11" s="307"/>
      <c r="Y11" s="307"/>
      <c r="Z11" s="307"/>
      <c r="AA11" s="307"/>
      <c r="AB11" s="307"/>
      <c r="AC11" s="307"/>
      <c r="AD11" s="307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x14ac:dyDescent="0.2">
      <c r="A12" s="1140"/>
      <c r="B12" s="1140"/>
      <c r="C12" s="1154"/>
      <c r="D12" s="1155"/>
      <c r="E12" s="1155"/>
      <c r="F12" s="1156"/>
      <c r="G12" s="1157" t="s">
        <v>159</v>
      </c>
      <c r="H12" s="1158"/>
      <c r="I12" s="1158"/>
      <c r="J12" s="1159"/>
      <c r="K12" s="1157" t="s">
        <v>160</v>
      </c>
      <c r="L12" s="1158"/>
      <c r="M12" s="1158"/>
      <c r="N12" s="1159"/>
      <c r="O12" s="1160" t="s">
        <v>13</v>
      </c>
      <c r="P12" s="1160"/>
      <c r="Q12" s="1160"/>
      <c r="R12" s="1160"/>
      <c r="S12" s="1133"/>
      <c r="T12" s="1134"/>
      <c r="U12" s="1134"/>
      <c r="V12" s="1134"/>
      <c r="W12" s="307"/>
      <c r="X12" s="307"/>
      <c r="Y12" s="307"/>
      <c r="Z12" s="307"/>
      <c r="AA12" s="307"/>
      <c r="AB12" s="307"/>
      <c r="AC12" s="307"/>
      <c r="AD12" s="307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ht="38.25" x14ac:dyDescent="0.2">
      <c r="A13" s="1141"/>
      <c r="B13" s="1141"/>
      <c r="C13" s="354" t="s">
        <v>234</v>
      </c>
      <c r="D13" s="354" t="s">
        <v>235</v>
      </c>
      <c r="E13" s="354" t="s">
        <v>236</v>
      </c>
      <c r="F13" s="354" t="s">
        <v>81</v>
      </c>
      <c r="G13" s="354" t="s">
        <v>234</v>
      </c>
      <c r="H13" s="354" t="s">
        <v>235</v>
      </c>
      <c r="I13" s="354" t="s">
        <v>236</v>
      </c>
      <c r="J13" s="354" t="s">
        <v>13</v>
      </c>
      <c r="K13" s="354" t="s">
        <v>234</v>
      </c>
      <c r="L13" s="354" t="s">
        <v>235</v>
      </c>
      <c r="M13" s="354" t="s">
        <v>236</v>
      </c>
      <c r="N13" s="354" t="s">
        <v>81</v>
      </c>
      <c r="O13" s="354" t="s">
        <v>234</v>
      </c>
      <c r="P13" s="354" t="s">
        <v>235</v>
      </c>
      <c r="Q13" s="354" t="s">
        <v>236</v>
      </c>
      <c r="R13" s="354" t="s">
        <v>13</v>
      </c>
      <c r="S13" s="306" t="s">
        <v>440</v>
      </c>
      <c r="T13" s="306" t="s">
        <v>441</v>
      </c>
      <c r="U13" s="306" t="s">
        <v>442</v>
      </c>
      <c r="V13" s="355" t="s">
        <v>443</v>
      </c>
      <c r="W13" s="307"/>
      <c r="X13" s="307"/>
      <c r="Y13" s="307"/>
      <c r="Z13" s="307"/>
      <c r="AA13" s="307"/>
      <c r="AB13" s="307"/>
      <c r="AC13" s="307"/>
      <c r="AD13" s="307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x14ac:dyDescent="0.2">
      <c r="A14" s="356">
        <v>1</v>
      </c>
      <c r="B14" s="357">
        <v>2</v>
      </c>
      <c r="C14" s="356">
        <v>3</v>
      </c>
      <c r="D14" s="356">
        <v>4</v>
      </c>
      <c r="E14" s="357">
        <v>5</v>
      </c>
      <c r="F14" s="356">
        <v>6</v>
      </c>
      <c r="G14" s="356">
        <v>7</v>
      </c>
      <c r="H14" s="357">
        <v>8</v>
      </c>
      <c r="I14" s="356">
        <v>9</v>
      </c>
      <c r="J14" s="356">
        <v>10</v>
      </c>
      <c r="K14" s="357">
        <v>11</v>
      </c>
      <c r="L14" s="356">
        <v>12</v>
      </c>
      <c r="M14" s="356">
        <v>13</v>
      </c>
      <c r="N14" s="357">
        <v>14</v>
      </c>
      <c r="O14" s="356">
        <v>15</v>
      </c>
      <c r="P14" s="356">
        <v>16</v>
      </c>
      <c r="Q14" s="357">
        <v>17</v>
      </c>
      <c r="R14" s="356">
        <v>18</v>
      </c>
      <c r="S14" s="356">
        <v>19</v>
      </c>
      <c r="T14" s="357">
        <v>20</v>
      </c>
      <c r="U14" s="356">
        <v>21</v>
      </c>
      <c r="V14" s="356">
        <v>22</v>
      </c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59"/>
      <c r="FG14" s="359"/>
      <c r="FH14" s="359"/>
      <c r="FI14" s="359"/>
      <c r="FJ14" s="359"/>
      <c r="FK14" s="359"/>
      <c r="FL14" s="359"/>
      <c r="FM14" s="359"/>
      <c r="FN14" s="359"/>
      <c r="FO14" s="359"/>
      <c r="FP14" s="359"/>
      <c r="FQ14" s="359"/>
      <c r="FR14" s="359"/>
      <c r="FS14" s="359"/>
      <c r="FT14" s="359"/>
      <c r="FU14" s="359"/>
      <c r="FV14" s="359"/>
      <c r="FW14" s="359"/>
      <c r="FX14" s="359"/>
      <c r="FY14" s="359"/>
      <c r="FZ14" s="359"/>
      <c r="GA14" s="359"/>
      <c r="GB14" s="359"/>
      <c r="GC14" s="359"/>
      <c r="GD14" s="359"/>
      <c r="GE14" s="359"/>
      <c r="GF14" s="359"/>
      <c r="GG14" s="359"/>
      <c r="GH14" s="359"/>
      <c r="GI14" s="359"/>
      <c r="GJ14" s="359"/>
      <c r="GK14" s="359"/>
      <c r="GL14" s="359"/>
      <c r="GM14" s="359"/>
      <c r="GN14" s="359"/>
      <c r="GO14" s="359"/>
      <c r="GP14" s="359"/>
      <c r="GQ14" s="359"/>
      <c r="GR14" s="359"/>
      <c r="GS14" s="359"/>
      <c r="GT14" s="359"/>
      <c r="GU14" s="359"/>
      <c r="GV14" s="359"/>
      <c r="GW14" s="359"/>
      <c r="GX14" s="359"/>
      <c r="GY14" s="359"/>
      <c r="GZ14" s="359"/>
      <c r="HA14" s="359"/>
      <c r="HB14" s="359"/>
      <c r="HC14" s="359"/>
      <c r="HD14" s="359"/>
      <c r="HE14" s="359"/>
      <c r="HF14" s="359"/>
      <c r="HG14" s="359"/>
      <c r="HH14" s="359"/>
      <c r="HI14" s="359"/>
      <c r="HJ14" s="359"/>
      <c r="HK14" s="359"/>
      <c r="HL14" s="359"/>
      <c r="HM14" s="359"/>
      <c r="HN14" s="359"/>
      <c r="HO14" s="359"/>
      <c r="HP14" s="359"/>
      <c r="HQ14" s="359"/>
      <c r="HR14" s="359"/>
      <c r="HS14" s="359"/>
      <c r="HT14" s="359"/>
      <c r="HU14" s="359"/>
      <c r="HV14" s="359"/>
      <c r="HW14" s="359"/>
      <c r="HX14" s="359"/>
      <c r="HY14" s="359"/>
      <c r="HZ14" s="359"/>
      <c r="IA14" s="359"/>
      <c r="IB14" s="359"/>
      <c r="IC14" s="359"/>
      <c r="ID14" s="359"/>
      <c r="IE14" s="359"/>
      <c r="IF14" s="359"/>
      <c r="IG14" s="359"/>
      <c r="IH14" s="359"/>
      <c r="II14" s="359"/>
      <c r="IJ14" s="359"/>
      <c r="IK14" s="359"/>
      <c r="IL14" s="359"/>
      <c r="IM14" s="359"/>
      <c r="IN14" s="359"/>
      <c r="IO14" s="359"/>
      <c r="IP14" s="359"/>
      <c r="IQ14" s="359"/>
      <c r="IR14" s="359"/>
      <c r="IS14" s="359"/>
      <c r="IT14" s="359"/>
      <c r="IU14" s="359"/>
      <c r="IV14" s="359"/>
    </row>
    <row r="15" spans="1:256" ht="29.25" customHeight="1" x14ac:dyDescent="0.2">
      <c r="A15" s="1135" t="s">
        <v>669</v>
      </c>
      <c r="B15" s="1136"/>
      <c r="C15" s="79"/>
      <c r="D15" s="79"/>
      <c r="E15" s="79"/>
      <c r="F15" s="360"/>
      <c r="G15" s="361"/>
      <c r="H15" s="361"/>
      <c r="I15" s="361"/>
      <c r="J15" s="360"/>
      <c r="K15" s="361"/>
      <c r="L15" s="361"/>
      <c r="M15" s="361"/>
      <c r="N15" s="361"/>
      <c r="O15" s="361"/>
      <c r="P15" s="361"/>
      <c r="Q15" s="361"/>
      <c r="R15" s="361"/>
      <c r="S15" s="361"/>
      <c r="T15" s="71"/>
      <c r="U15" s="71"/>
      <c r="V15" s="71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29.25" customHeight="1" x14ac:dyDescent="0.2">
      <c r="A16" s="354">
        <v>1</v>
      </c>
      <c r="B16" s="363" t="s">
        <v>166</v>
      </c>
      <c r="C16" s="852">
        <v>1548.6596819999997</v>
      </c>
      <c r="D16" s="852">
        <v>406.34437500000001</v>
      </c>
      <c r="E16" s="852">
        <v>212.16594299999997</v>
      </c>
      <c r="F16" s="852">
        <v>2167.17</v>
      </c>
      <c r="G16" s="852">
        <v>1334.965698</v>
      </c>
      <c r="H16" s="852">
        <v>350.27437500000008</v>
      </c>
      <c r="I16" s="852">
        <v>182.889927</v>
      </c>
      <c r="J16" s="852">
        <v>1868.1300000000003</v>
      </c>
      <c r="K16" s="852">
        <v>0</v>
      </c>
      <c r="L16" s="852">
        <v>0</v>
      </c>
      <c r="M16" s="852">
        <v>0</v>
      </c>
      <c r="N16" s="852">
        <v>0</v>
      </c>
      <c r="O16" s="852">
        <v>1334.965698</v>
      </c>
      <c r="P16" s="852">
        <v>350.27437500000008</v>
      </c>
      <c r="Q16" s="852">
        <v>182.889927</v>
      </c>
      <c r="R16" s="852">
        <v>1868.13</v>
      </c>
      <c r="S16" s="852">
        <f>C16-O16</f>
        <v>213.69398399999977</v>
      </c>
      <c r="T16" s="852">
        <f>D16-P16</f>
        <v>56.069999999999936</v>
      </c>
      <c r="U16" s="852">
        <f>E16-Q16</f>
        <v>29.27601599999997</v>
      </c>
      <c r="V16" s="852">
        <f>S16+T16+U16</f>
        <v>299.03999999999968</v>
      </c>
      <c r="W16" s="364"/>
      <c r="X16" s="362"/>
      <c r="Y16" s="362"/>
      <c r="Z16" s="362"/>
      <c r="AA16" s="362"/>
      <c r="AB16" s="362"/>
      <c r="AC16" s="362"/>
      <c r="AD16" s="362"/>
      <c r="AE16" s="362"/>
      <c r="AF16" s="362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29.25" customHeight="1" x14ac:dyDescent="0.2">
      <c r="A17" s="354">
        <v>2</v>
      </c>
      <c r="B17" s="365" t="s">
        <v>115</v>
      </c>
      <c r="C17" s="852">
        <v>21085.16</v>
      </c>
      <c r="D17" s="852">
        <v>5532.4068749999997</v>
      </c>
      <c r="E17" s="852">
        <v>2888.6540429999995</v>
      </c>
      <c r="F17" s="852">
        <v>29506.22</v>
      </c>
      <c r="G17" s="852">
        <v>12356.441586000001</v>
      </c>
      <c r="H17" s="852">
        <v>3242.1393750000007</v>
      </c>
      <c r="I17" s="852">
        <v>1692.8290390000002</v>
      </c>
      <c r="J17" s="852">
        <v>17291.410000000003</v>
      </c>
      <c r="K17" s="852">
        <v>18156.792617999999</v>
      </c>
      <c r="L17" s="852">
        <v>4764.0618750000003</v>
      </c>
      <c r="M17" s="852">
        <v>2487.4755069999997</v>
      </c>
      <c r="N17" s="852">
        <v>25408.33</v>
      </c>
      <c r="O17" s="852">
        <v>30513.234204</v>
      </c>
      <c r="P17" s="852">
        <v>8006.201250000001</v>
      </c>
      <c r="Q17" s="852">
        <v>4180.3045459999994</v>
      </c>
      <c r="R17" s="852">
        <v>42699.740000000005</v>
      </c>
      <c r="S17" s="852">
        <f>C17-O17</f>
        <v>-9428.0742040000005</v>
      </c>
      <c r="T17" s="852">
        <f>D17-P17</f>
        <v>-2473.7943750000013</v>
      </c>
      <c r="U17" s="852">
        <f t="shared" ref="U17:U20" si="0">E17-Q17</f>
        <v>-1291.6505029999998</v>
      </c>
      <c r="V17" s="852">
        <f t="shared" ref="V17:V20" si="1">S17+T17+U17</f>
        <v>-13193.519082000003</v>
      </c>
      <c r="W17" s="364"/>
      <c r="Y17" s="1145"/>
      <c r="Z17" s="1145"/>
      <c r="AA17" s="1145"/>
      <c r="AB17" s="1145"/>
    </row>
    <row r="18" spans="1:256" ht="29.25" customHeight="1" x14ac:dyDescent="0.2">
      <c r="A18" s="354">
        <v>3</v>
      </c>
      <c r="B18" s="363" t="s">
        <v>116</v>
      </c>
      <c r="C18" s="852">
        <v>383.33287799999999</v>
      </c>
      <c r="D18" s="852">
        <v>100.58062500000001</v>
      </c>
      <c r="E18" s="852">
        <v>52.516497000000001</v>
      </c>
      <c r="F18" s="852">
        <v>536.43000000000006</v>
      </c>
      <c r="G18" s="852">
        <v>330.43818599999997</v>
      </c>
      <c r="H18" s="852">
        <v>86.701875000000001</v>
      </c>
      <c r="I18" s="852">
        <v>45.269938999999994</v>
      </c>
      <c r="J18" s="852">
        <v>462.41</v>
      </c>
      <c r="K18" s="852">
        <v>0</v>
      </c>
      <c r="L18" s="852">
        <v>0</v>
      </c>
      <c r="M18" s="852">
        <v>0</v>
      </c>
      <c r="N18" s="852">
        <v>0</v>
      </c>
      <c r="O18" s="852">
        <v>330.43818599999997</v>
      </c>
      <c r="P18" s="852">
        <v>86.701875000000001</v>
      </c>
      <c r="Q18" s="852">
        <v>45.269938999999994</v>
      </c>
      <c r="R18" s="852">
        <v>462.41</v>
      </c>
      <c r="S18" s="852">
        <f t="shared" ref="S18:S20" si="2">C18-O18</f>
        <v>52.89469200000002</v>
      </c>
      <c r="T18" s="852">
        <f t="shared" ref="T18:T20" si="3">D18-P18</f>
        <v>13.878750000000011</v>
      </c>
      <c r="U18" s="852">
        <f t="shared" si="0"/>
        <v>7.2465580000000074</v>
      </c>
      <c r="V18" s="852">
        <f t="shared" si="1"/>
        <v>74.020000000000039</v>
      </c>
    </row>
    <row r="19" spans="1:256" ht="29.25" customHeight="1" x14ac:dyDescent="0.2">
      <c r="A19" s="354">
        <v>4</v>
      </c>
      <c r="B19" s="365" t="s">
        <v>117</v>
      </c>
      <c r="C19" s="852">
        <v>336.44082599999996</v>
      </c>
      <c r="D19" s="852">
        <v>88.276875000000004</v>
      </c>
      <c r="E19" s="852">
        <v>46.092298999999997</v>
      </c>
      <c r="F19" s="852">
        <v>470.81</v>
      </c>
      <c r="G19" s="852">
        <v>253.59724799999995</v>
      </c>
      <c r="H19" s="852">
        <v>66.539999999999992</v>
      </c>
      <c r="I19" s="852">
        <v>34.742751999999996</v>
      </c>
      <c r="J19" s="852">
        <v>354.88</v>
      </c>
      <c r="K19" s="852">
        <v>0</v>
      </c>
      <c r="L19" s="852">
        <v>0</v>
      </c>
      <c r="M19" s="852">
        <v>0</v>
      </c>
      <c r="N19" s="852">
        <v>0</v>
      </c>
      <c r="O19" s="852">
        <v>253.59724799999995</v>
      </c>
      <c r="P19" s="852">
        <v>66.539999999999992</v>
      </c>
      <c r="Q19" s="852">
        <v>34.742751999999996</v>
      </c>
      <c r="R19" s="852">
        <v>354.88</v>
      </c>
      <c r="S19" s="852">
        <f t="shared" si="2"/>
        <v>82.843578000000008</v>
      </c>
      <c r="T19" s="852">
        <f t="shared" si="3"/>
        <v>21.736875000000012</v>
      </c>
      <c r="U19" s="852">
        <f t="shared" si="0"/>
        <v>11.349547000000001</v>
      </c>
      <c r="V19" s="852">
        <f t="shared" si="1"/>
        <v>115.93000000000002</v>
      </c>
    </row>
    <row r="20" spans="1:256" ht="29.25" customHeight="1" x14ac:dyDescent="0.2">
      <c r="A20" s="354">
        <v>5</v>
      </c>
      <c r="B20" s="363" t="s">
        <v>118</v>
      </c>
      <c r="C20" s="852">
        <v>6832.7908199999993</v>
      </c>
      <c r="D20" s="852">
        <v>1792.8187500000001</v>
      </c>
      <c r="E20" s="852">
        <v>936.09042999999997</v>
      </c>
      <c r="F20" s="852">
        <v>9561.7000000000007</v>
      </c>
      <c r="G20" s="852">
        <v>4099.6744920000001</v>
      </c>
      <c r="H20" s="852">
        <v>1075.6912500000001</v>
      </c>
      <c r="I20" s="852">
        <v>561.65425799999991</v>
      </c>
      <c r="J20" s="852">
        <v>5737.02</v>
      </c>
      <c r="K20" s="852">
        <v>2733.1163279999996</v>
      </c>
      <c r="L20" s="852">
        <v>717.12750000000005</v>
      </c>
      <c r="M20" s="852">
        <v>374.436172</v>
      </c>
      <c r="N20" s="852">
        <v>3824.6800000000003</v>
      </c>
      <c r="O20" s="852">
        <v>6832.7908200000002</v>
      </c>
      <c r="P20" s="852">
        <v>1792.8187500000001</v>
      </c>
      <c r="Q20" s="852">
        <v>936.09042999999997</v>
      </c>
      <c r="R20" s="852">
        <v>9561.7000000000007</v>
      </c>
      <c r="S20" s="852">
        <f t="shared" si="2"/>
        <v>0</v>
      </c>
      <c r="T20" s="852">
        <f t="shared" si="3"/>
        <v>0</v>
      </c>
      <c r="U20" s="852">
        <f t="shared" si="0"/>
        <v>0</v>
      </c>
      <c r="V20" s="852">
        <f t="shared" si="1"/>
        <v>0</v>
      </c>
    </row>
    <row r="21" spans="1:256" s="78" customFormat="1" ht="29.25" customHeight="1" x14ac:dyDescent="0.2">
      <c r="A21" s="366"/>
      <c r="B21" s="363" t="s">
        <v>81</v>
      </c>
      <c r="C21" s="852">
        <f>SUM(C16:C20)</f>
        <v>30186.384205999999</v>
      </c>
      <c r="D21" s="852">
        <f t="shared" ref="D21:E21" si="4">SUM(D16:D20)</f>
        <v>7920.4274999999989</v>
      </c>
      <c r="E21" s="852">
        <f t="shared" si="4"/>
        <v>4135.5192119999992</v>
      </c>
      <c r="F21" s="852">
        <f>SUM(F16:F20)</f>
        <v>42242.33</v>
      </c>
      <c r="G21" s="852">
        <f t="shared" ref="G21:V21" si="5">SUM(G16:G20)</f>
        <v>18375.11721</v>
      </c>
      <c r="H21" s="852">
        <f t="shared" si="5"/>
        <v>4821.3468750000011</v>
      </c>
      <c r="I21" s="852">
        <f t="shared" si="5"/>
        <v>2517.3859150000003</v>
      </c>
      <c r="J21" s="852">
        <f t="shared" si="5"/>
        <v>25713.850000000006</v>
      </c>
      <c r="K21" s="852">
        <f t="shared" si="5"/>
        <v>20889.908946</v>
      </c>
      <c r="L21" s="852">
        <f t="shared" si="5"/>
        <v>5481.1893749999999</v>
      </c>
      <c r="M21" s="852">
        <f t="shared" si="5"/>
        <v>2861.9116789999998</v>
      </c>
      <c r="N21" s="852">
        <f t="shared" si="5"/>
        <v>29233.010000000002</v>
      </c>
      <c r="O21" s="852">
        <f t="shared" si="5"/>
        <v>39265.026156</v>
      </c>
      <c r="P21" s="852">
        <f t="shared" si="5"/>
        <v>10302.536250000003</v>
      </c>
      <c r="Q21" s="852">
        <f t="shared" si="5"/>
        <v>5379.2975939999997</v>
      </c>
      <c r="R21" s="852">
        <f>SUM(R16:R20)</f>
        <v>54946.86</v>
      </c>
      <c r="S21" s="852">
        <f t="shared" si="5"/>
        <v>-9078.6419500000011</v>
      </c>
      <c r="T21" s="852">
        <f t="shared" si="5"/>
        <v>-2382.1087500000017</v>
      </c>
      <c r="U21" s="852">
        <f t="shared" si="5"/>
        <v>-1243.7783819999997</v>
      </c>
      <c r="V21" s="852">
        <f t="shared" si="5"/>
        <v>-12704.529082000003</v>
      </c>
    </row>
    <row r="22" spans="1:256" ht="29.25" customHeight="1" x14ac:dyDescent="0.2">
      <c r="A22" s="1143" t="s">
        <v>670</v>
      </c>
      <c r="B22" s="1144"/>
      <c r="C22" s="79"/>
      <c r="D22" s="79"/>
      <c r="E22" s="79"/>
      <c r="F22" s="360"/>
      <c r="G22" s="361"/>
      <c r="H22" s="361"/>
      <c r="I22" s="361"/>
      <c r="J22" s="360"/>
      <c r="K22" s="361"/>
      <c r="L22" s="361"/>
      <c r="M22" s="361"/>
      <c r="N22" s="361"/>
      <c r="O22" s="361"/>
      <c r="P22" s="361"/>
      <c r="Q22" s="361"/>
      <c r="R22" s="361"/>
      <c r="S22" s="361"/>
      <c r="T22" s="71"/>
      <c r="U22" s="71"/>
      <c r="V22" s="71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29.25" customHeight="1" x14ac:dyDescent="0.2">
      <c r="A23" s="354">
        <v>1</v>
      </c>
      <c r="B23" s="363" t="s">
        <v>166</v>
      </c>
      <c r="C23" s="852">
        <v>128.69231399999998</v>
      </c>
      <c r="D23" s="852">
        <v>33.766874999999999</v>
      </c>
      <c r="E23" s="852">
        <v>17.630810999999998</v>
      </c>
      <c r="F23" s="852">
        <v>180.09</v>
      </c>
      <c r="G23" s="852">
        <v>0</v>
      </c>
      <c r="H23" s="852">
        <v>0</v>
      </c>
      <c r="I23" s="852">
        <v>0</v>
      </c>
      <c r="J23" s="852">
        <v>0</v>
      </c>
      <c r="K23" s="852">
        <v>0</v>
      </c>
      <c r="L23" s="852">
        <v>0</v>
      </c>
      <c r="M23" s="852">
        <v>0</v>
      </c>
      <c r="N23" s="852">
        <v>0</v>
      </c>
      <c r="O23" s="852">
        <v>0</v>
      </c>
      <c r="P23" s="852">
        <v>0</v>
      </c>
      <c r="Q23" s="852">
        <v>0</v>
      </c>
      <c r="R23" s="852">
        <v>0</v>
      </c>
      <c r="S23" s="852">
        <f t="shared" ref="S23:S27" si="6">C23-O23</f>
        <v>128.69231399999998</v>
      </c>
      <c r="T23" s="852">
        <f t="shared" ref="T23:T27" si="7">D23-P23</f>
        <v>33.766874999999999</v>
      </c>
      <c r="U23" s="852">
        <f t="shared" ref="U23:U27" si="8">E23-Q23</f>
        <v>17.630810999999998</v>
      </c>
      <c r="V23" s="852">
        <f t="shared" ref="V23:V27" si="9">S23+T23+U23</f>
        <v>180.08999999999997</v>
      </c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29.25" customHeight="1" x14ac:dyDescent="0.2">
      <c r="A24" s="354">
        <v>2</v>
      </c>
      <c r="B24" s="365" t="s">
        <v>115</v>
      </c>
      <c r="C24" s="852">
        <v>1752.1563239999996</v>
      </c>
      <c r="D24" s="852">
        <v>459.73874999999992</v>
      </c>
      <c r="E24" s="852">
        <v>240.04492599999992</v>
      </c>
      <c r="F24" s="852">
        <v>2451.9399999999996</v>
      </c>
      <c r="G24" s="852">
        <v>0</v>
      </c>
      <c r="H24" s="852">
        <v>0</v>
      </c>
      <c r="I24" s="852">
        <v>0</v>
      </c>
      <c r="J24" s="852">
        <v>0</v>
      </c>
      <c r="K24" s="852">
        <v>0</v>
      </c>
      <c r="L24" s="852">
        <v>0</v>
      </c>
      <c r="M24" s="852">
        <v>0</v>
      </c>
      <c r="N24" s="852">
        <v>0</v>
      </c>
      <c r="O24" s="852">
        <v>0</v>
      </c>
      <c r="P24" s="852">
        <v>0</v>
      </c>
      <c r="Q24" s="852">
        <v>0</v>
      </c>
      <c r="R24" s="852">
        <v>0</v>
      </c>
      <c r="S24" s="852">
        <f t="shared" si="6"/>
        <v>1752.1563239999996</v>
      </c>
      <c r="T24" s="852">
        <f t="shared" si="7"/>
        <v>459.73874999999992</v>
      </c>
      <c r="U24" s="852">
        <f t="shared" si="8"/>
        <v>240.04492599999992</v>
      </c>
      <c r="V24" s="852">
        <f t="shared" si="9"/>
        <v>2451.9399999999996</v>
      </c>
      <c r="Y24" s="1145"/>
      <c r="Z24" s="1145"/>
      <c r="AA24" s="1145"/>
      <c r="AB24" s="1145"/>
    </row>
    <row r="25" spans="1:256" ht="29.25" customHeight="1" x14ac:dyDescent="0.2">
      <c r="A25" s="354">
        <v>3</v>
      </c>
      <c r="B25" s="363" t="s">
        <v>116</v>
      </c>
      <c r="C25" s="852">
        <v>31.849721999999996</v>
      </c>
      <c r="D25" s="852">
        <v>8.3568750000000005</v>
      </c>
      <c r="E25" s="852">
        <v>4.363402999999999</v>
      </c>
      <c r="F25" s="852">
        <v>44.57</v>
      </c>
      <c r="G25" s="852">
        <v>0</v>
      </c>
      <c r="H25" s="852">
        <v>0</v>
      </c>
      <c r="I25" s="852">
        <v>0</v>
      </c>
      <c r="J25" s="852">
        <v>0</v>
      </c>
      <c r="K25" s="852">
        <v>0</v>
      </c>
      <c r="L25" s="852">
        <v>0</v>
      </c>
      <c r="M25" s="852">
        <v>0</v>
      </c>
      <c r="N25" s="852">
        <v>0</v>
      </c>
      <c r="O25" s="852">
        <v>0</v>
      </c>
      <c r="P25" s="852">
        <v>0</v>
      </c>
      <c r="Q25" s="852">
        <v>0</v>
      </c>
      <c r="R25" s="852">
        <v>0</v>
      </c>
      <c r="S25" s="852">
        <f t="shared" si="6"/>
        <v>31.849721999999996</v>
      </c>
      <c r="T25" s="852">
        <f t="shared" si="7"/>
        <v>8.3568750000000005</v>
      </c>
      <c r="U25" s="852">
        <f t="shared" si="8"/>
        <v>4.363402999999999</v>
      </c>
      <c r="V25" s="852">
        <f t="shared" si="9"/>
        <v>44.569999999999993</v>
      </c>
    </row>
    <row r="26" spans="1:256" ht="29.25" customHeight="1" x14ac:dyDescent="0.2">
      <c r="A26" s="354">
        <v>4</v>
      </c>
      <c r="B26" s="365" t="s">
        <v>117</v>
      </c>
      <c r="C26" s="852">
        <v>28.276721999999996</v>
      </c>
      <c r="D26" s="852">
        <v>7.4193750000000005</v>
      </c>
      <c r="E26" s="852">
        <v>3.8739029999999994</v>
      </c>
      <c r="F26" s="852">
        <v>39.57</v>
      </c>
      <c r="G26" s="852">
        <v>0</v>
      </c>
      <c r="H26" s="852">
        <v>0</v>
      </c>
      <c r="I26" s="852">
        <v>0</v>
      </c>
      <c r="J26" s="852">
        <v>0</v>
      </c>
      <c r="K26" s="852">
        <v>0</v>
      </c>
      <c r="L26" s="852">
        <v>0</v>
      </c>
      <c r="M26" s="852">
        <v>0</v>
      </c>
      <c r="N26" s="852">
        <v>0</v>
      </c>
      <c r="O26" s="852">
        <v>0</v>
      </c>
      <c r="P26" s="852">
        <v>0</v>
      </c>
      <c r="Q26" s="852">
        <v>0</v>
      </c>
      <c r="R26" s="852">
        <v>0</v>
      </c>
      <c r="S26" s="852">
        <f t="shared" si="6"/>
        <v>28.276721999999996</v>
      </c>
      <c r="T26" s="852">
        <f t="shared" si="7"/>
        <v>7.4193750000000005</v>
      </c>
      <c r="U26" s="852">
        <f t="shared" si="8"/>
        <v>3.8739029999999994</v>
      </c>
      <c r="V26" s="852">
        <f t="shared" si="9"/>
        <v>39.569999999999993</v>
      </c>
    </row>
    <row r="27" spans="1:256" ht="29.25" customHeight="1" x14ac:dyDescent="0.2">
      <c r="A27" s="354">
        <v>5</v>
      </c>
      <c r="B27" s="363" t="s">
        <v>118</v>
      </c>
      <c r="C27" s="852">
        <v>596.91967199999988</v>
      </c>
      <c r="D27" s="852">
        <v>156.6225</v>
      </c>
      <c r="E27" s="852">
        <v>81.777827999999985</v>
      </c>
      <c r="F27" s="852">
        <v>835.31999999999994</v>
      </c>
      <c r="G27" s="852">
        <v>0</v>
      </c>
      <c r="H27" s="852">
        <v>0</v>
      </c>
      <c r="I27" s="852">
        <v>0</v>
      </c>
      <c r="J27" s="852">
        <v>0</v>
      </c>
      <c r="K27" s="852">
        <v>0</v>
      </c>
      <c r="L27" s="852">
        <v>0</v>
      </c>
      <c r="M27" s="852">
        <v>0</v>
      </c>
      <c r="N27" s="852">
        <v>0</v>
      </c>
      <c r="O27" s="852">
        <v>0</v>
      </c>
      <c r="P27" s="852">
        <v>0</v>
      </c>
      <c r="Q27" s="852">
        <v>0</v>
      </c>
      <c r="R27" s="852">
        <v>0</v>
      </c>
      <c r="S27" s="852">
        <f t="shared" si="6"/>
        <v>596.91967199999988</v>
      </c>
      <c r="T27" s="852">
        <f t="shared" si="7"/>
        <v>156.6225</v>
      </c>
      <c r="U27" s="852">
        <f t="shared" si="8"/>
        <v>81.777827999999985</v>
      </c>
      <c r="V27" s="852">
        <f t="shared" si="9"/>
        <v>835.31999999999994</v>
      </c>
    </row>
    <row r="28" spans="1:256" s="78" customFormat="1" ht="29.25" customHeight="1" x14ac:dyDescent="0.2">
      <c r="A28" s="366"/>
      <c r="B28" s="363" t="s">
        <v>81</v>
      </c>
      <c r="C28" s="852">
        <f>SUM(C23:C27)</f>
        <v>2537.8947539999995</v>
      </c>
      <c r="D28" s="852">
        <f t="shared" ref="D28" si="10">SUM(D23:D27)</f>
        <v>665.90437499999985</v>
      </c>
      <c r="E28" s="852">
        <f t="shared" ref="E28" si="11">SUM(E23:E27)</f>
        <v>347.6908709999999</v>
      </c>
      <c r="F28" s="852">
        <f>SUM(F23:F27)</f>
        <v>3551.49</v>
      </c>
      <c r="G28" s="852">
        <f t="shared" ref="G28" si="12">SUM(G23:G27)</f>
        <v>0</v>
      </c>
      <c r="H28" s="852">
        <f t="shared" ref="H28" si="13">SUM(H23:H27)</f>
        <v>0</v>
      </c>
      <c r="I28" s="852">
        <f t="shared" ref="I28" si="14">SUM(I23:I27)</f>
        <v>0</v>
      </c>
      <c r="J28" s="852">
        <f t="shared" ref="J28" si="15">SUM(J23:J27)</f>
        <v>0</v>
      </c>
      <c r="K28" s="852">
        <f t="shared" ref="K28" si="16">SUM(K23:K27)</f>
        <v>0</v>
      </c>
      <c r="L28" s="852">
        <f t="shared" ref="L28" si="17">SUM(L23:L27)</f>
        <v>0</v>
      </c>
      <c r="M28" s="852">
        <f t="shared" ref="M28" si="18">SUM(M23:M27)</f>
        <v>0</v>
      </c>
      <c r="N28" s="852">
        <f t="shared" ref="N28" si="19">SUM(N23:N27)</f>
        <v>0</v>
      </c>
      <c r="O28" s="852">
        <f t="shared" ref="O28" si="20">SUM(O23:O27)</f>
        <v>0</v>
      </c>
      <c r="P28" s="852">
        <f t="shared" ref="P28" si="21">SUM(P23:P27)</f>
        <v>0</v>
      </c>
      <c r="Q28" s="852">
        <f t="shared" ref="Q28" si="22">SUM(Q23:Q27)</f>
        <v>0</v>
      </c>
      <c r="R28" s="852">
        <f t="shared" ref="R28" si="23">SUM(R23:R27)</f>
        <v>0</v>
      </c>
      <c r="S28" s="852">
        <f t="shared" ref="S28" si="24">SUM(S23:S27)</f>
        <v>2537.8947539999995</v>
      </c>
      <c r="T28" s="852">
        <f t="shared" ref="T28" si="25">SUM(T23:T27)</f>
        <v>665.90437499999985</v>
      </c>
      <c r="U28" s="852">
        <f t="shared" ref="U28" si="26">SUM(U23:U27)</f>
        <v>347.6908709999999</v>
      </c>
      <c r="V28" s="852">
        <f t="shared" ref="V28" si="27">SUM(V23:V27)</f>
        <v>3551.49</v>
      </c>
    </row>
    <row r="29" spans="1:256" ht="23.25" customHeight="1" x14ac:dyDescent="0.25">
      <c r="A29" s="1137" t="s">
        <v>221</v>
      </c>
      <c r="B29" s="1138"/>
      <c r="C29" s="853"/>
      <c r="D29" s="853"/>
      <c r="E29" s="853"/>
      <c r="F29" s="853"/>
      <c r="G29" s="853"/>
      <c r="H29" s="853"/>
      <c r="I29" s="853"/>
      <c r="J29" s="853"/>
      <c r="K29" s="853"/>
      <c r="L29" s="853"/>
      <c r="M29" s="853"/>
      <c r="N29" s="853"/>
      <c r="O29" s="853"/>
      <c r="P29" s="853"/>
      <c r="Q29" s="853"/>
      <c r="R29" s="853"/>
      <c r="S29" s="853"/>
      <c r="T29" s="853"/>
      <c r="U29" s="853"/>
      <c r="V29" s="853"/>
    </row>
    <row r="30" spans="1:256" ht="29.25" customHeight="1" x14ac:dyDescent="0.25">
      <c r="A30" s="354">
        <v>6</v>
      </c>
      <c r="B30" s="363" t="s">
        <v>167</v>
      </c>
      <c r="C30" s="854">
        <v>0</v>
      </c>
      <c r="D30" s="854">
        <v>0</v>
      </c>
      <c r="E30" s="854">
        <v>0</v>
      </c>
      <c r="F30" s="854">
        <v>0</v>
      </c>
      <c r="G30" s="854">
        <v>0</v>
      </c>
      <c r="H30" s="854">
        <v>0</v>
      </c>
      <c r="I30" s="854">
        <v>0</v>
      </c>
      <c r="J30" s="854">
        <v>0</v>
      </c>
      <c r="K30" s="854">
        <v>0</v>
      </c>
      <c r="L30" s="854">
        <v>0</v>
      </c>
      <c r="M30" s="854">
        <v>0</v>
      </c>
      <c r="N30" s="854">
        <v>0</v>
      </c>
      <c r="O30" s="854">
        <v>0</v>
      </c>
      <c r="P30" s="854">
        <v>0</v>
      </c>
      <c r="Q30" s="854">
        <v>0</v>
      </c>
      <c r="R30" s="854">
        <v>0</v>
      </c>
      <c r="S30" s="854">
        <v>0</v>
      </c>
      <c r="T30" s="854">
        <v>0</v>
      </c>
      <c r="U30" s="854">
        <v>0</v>
      </c>
      <c r="V30" s="854">
        <v>0</v>
      </c>
    </row>
    <row r="31" spans="1:256" ht="29.25" customHeight="1" x14ac:dyDescent="0.25">
      <c r="A31" s="354">
        <v>7</v>
      </c>
      <c r="B31" s="365" t="s">
        <v>120</v>
      </c>
      <c r="C31" s="854">
        <v>0</v>
      </c>
      <c r="D31" s="854">
        <v>0</v>
      </c>
      <c r="E31" s="854">
        <v>0</v>
      </c>
      <c r="F31" s="854">
        <v>0</v>
      </c>
      <c r="G31" s="854">
        <v>0</v>
      </c>
      <c r="H31" s="854">
        <v>0</v>
      </c>
      <c r="I31" s="854">
        <v>0</v>
      </c>
      <c r="J31" s="854">
        <v>0</v>
      </c>
      <c r="K31" s="854">
        <v>0</v>
      </c>
      <c r="L31" s="854">
        <v>0</v>
      </c>
      <c r="M31" s="854">
        <v>0</v>
      </c>
      <c r="N31" s="854">
        <v>0</v>
      </c>
      <c r="O31" s="854">
        <v>0</v>
      </c>
      <c r="P31" s="854">
        <v>0</v>
      </c>
      <c r="Q31" s="854">
        <v>0</v>
      </c>
      <c r="R31" s="854">
        <v>0</v>
      </c>
      <c r="S31" s="854">
        <v>0</v>
      </c>
      <c r="T31" s="854">
        <v>0</v>
      </c>
      <c r="U31" s="854">
        <v>0</v>
      </c>
      <c r="V31" s="854">
        <v>0</v>
      </c>
    </row>
    <row r="32" spans="1:256" ht="29.25" customHeight="1" x14ac:dyDescent="0.25">
      <c r="A32" s="367"/>
      <c r="B32" s="365" t="s">
        <v>81</v>
      </c>
      <c r="C32" s="854">
        <v>0</v>
      </c>
      <c r="D32" s="854">
        <v>0</v>
      </c>
      <c r="E32" s="854">
        <v>0</v>
      </c>
      <c r="F32" s="854">
        <v>0</v>
      </c>
      <c r="G32" s="854">
        <v>0</v>
      </c>
      <c r="H32" s="854">
        <v>0</v>
      </c>
      <c r="I32" s="854">
        <v>0</v>
      </c>
      <c r="J32" s="854">
        <v>0</v>
      </c>
      <c r="K32" s="854">
        <v>0</v>
      </c>
      <c r="L32" s="854">
        <v>0</v>
      </c>
      <c r="M32" s="854">
        <v>0</v>
      </c>
      <c r="N32" s="854">
        <v>0</v>
      </c>
      <c r="O32" s="854">
        <v>0</v>
      </c>
      <c r="P32" s="854">
        <v>0</v>
      </c>
      <c r="Q32" s="854">
        <v>0</v>
      </c>
      <c r="R32" s="854">
        <v>0</v>
      </c>
      <c r="S32" s="854">
        <v>0</v>
      </c>
      <c r="T32" s="854">
        <v>0</v>
      </c>
      <c r="U32" s="854">
        <v>0</v>
      </c>
      <c r="V32" s="854">
        <v>0</v>
      </c>
    </row>
    <row r="33" spans="1:32" s="369" customFormat="1" ht="29.25" customHeight="1" x14ac:dyDescent="0.2">
      <c r="A33" s="368"/>
      <c r="B33" s="365" t="s">
        <v>29</v>
      </c>
      <c r="C33" s="852">
        <f>C21+C28+C32</f>
        <v>32724.27896</v>
      </c>
      <c r="D33" s="852">
        <f t="shared" ref="D33:V33" si="28">D21+D28+D32</f>
        <v>8586.331874999998</v>
      </c>
      <c r="E33" s="852">
        <f t="shared" si="28"/>
        <v>4483.210082999999</v>
      </c>
      <c r="F33" s="852">
        <f t="shared" si="28"/>
        <v>45793.82</v>
      </c>
      <c r="G33" s="852">
        <f t="shared" si="28"/>
        <v>18375.11721</v>
      </c>
      <c r="H33" s="852">
        <f t="shared" si="28"/>
        <v>4821.3468750000011</v>
      </c>
      <c r="I33" s="852">
        <f t="shared" si="28"/>
        <v>2517.3859150000003</v>
      </c>
      <c r="J33" s="852">
        <f t="shared" si="28"/>
        <v>25713.850000000006</v>
      </c>
      <c r="K33" s="852">
        <f t="shared" si="28"/>
        <v>20889.908946</v>
      </c>
      <c r="L33" s="852">
        <f t="shared" si="28"/>
        <v>5481.1893749999999</v>
      </c>
      <c r="M33" s="852">
        <f t="shared" si="28"/>
        <v>2861.9116789999998</v>
      </c>
      <c r="N33" s="852">
        <f t="shared" si="28"/>
        <v>29233.010000000002</v>
      </c>
      <c r="O33" s="852">
        <f t="shared" si="28"/>
        <v>39265.026156</v>
      </c>
      <c r="P33" s="852">
        <f t="shared" si="28"/>
        <v>10302.536250000003</v>
      </c>
      <c r="Q33" s="852">
        <f t="shared" si="28"/>
        <v>5379.2975939999997</v>
      </c>
      <c r="R33" s="852">
        <f t="shared" si="28"/>
        <v>54946.86</v>
      </c>
      <c r="S33" s="852">
        <f t="shared" si="28"/>
        <v>-6540.7471960000021</v>
      </c>
      <c r="T33" s="852">
        <f t="shared" si="28"/>
        <v>-1716.2043750000018</v>
      </c>
      <c r="U33" s="852">
        <f t="shared" si="28"/>
        <v>-896.08751099999984</v>
      </c>
      <c r="V33" s="852">
        <f t="shared" si="28"/>
        <v>-9153.039082000003</v>
      </c>
    </row>
    <row r="34" spans="1:32" ht="29.25" customHeight="1" x14ac:dyDescent="0.2">
      <c r="A34" s="370"/>
      <c r="B34" s="371"/>
      <c r="C34" s="370"/>
      <c r="D34" s="370"/>
      <c r="E34" s="370"/>
      <c r="F34" s="372"/>
      <c r="G34" s="370"/>
      <c r="H34" s="370"/>
      <c r="I34" s="370"/>
      <c r="J34" s="372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</row>
    <row r="36" spans="1:32" ht="63" customHeight="1" x14ac:dyDescent="0.2">
      <c r="A36" s="81" t="s">
        <v>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1142" t="s">
        <v>646</v>
      </c>
      <c r="T36" s="1142"/>
      <c r="U36" s="1142"/>
      <c r="V36" s="1142"/>
      <c r="W36" s="1142"/>
      <c r="X36" s="78"/>
      <c r="Y36" s="78"/>
      <c r="Z36" s="78"/>
      <c r="AA36" s="78"/>
      <c r="AE36" s="78"/>
      <c r="AF36" s="78"/>
    </row>
  </sheetData>
  <mergeCells count="21">
    <mergeCell ref="S36:W36"/>
    <mergeCell ref="A22:B22"/>
    <mergeCell ref="Y24:AB24"/>
    <mergeCell ref="G2:O2"/>
    <mergeCell ref="A3:U3"/>
    <mergeCell ref="A4:U4"/>
    <mergeCell ref="A6:U6"/>
    <mergeCell ref="A8:C8"/>
    <mergeCell ref="Y17:AB17"/>
    <mergeCell ref="AB10:AD10"/>
    <mergeCell ref="C11:F12"/>
    <mergeCell ref="G12:J12"/>
    <mergeCell ref="K12:N12"/>
    <mergeCell ref="O12:R12"/>
    <mergeCell ref="G11:R11"/>
    <mergeCell ref="U10:V10"/>
    <mergeCell ref="S11:V12"/>
    <mergeCell ref="A15:B15"/>
    <mergeCell ref="A29:B29"/>
    <mergeCell ref="B11:B13"/>
    <mergeCell ref="A11:A13"/>
  </mergeCells>
  <printOptions horizontalCentered="1"/>
  <pageMargins left="0.59055118110236227" right="0.15748031496062992" top="0.19685039370078741" bottom="0.11811023622047245" header="7.874015748031496E-2" footer="7.874015748031496E-2"/>
  <pageSetup paperSize="9" scale="62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5" tint="0.59999389629810485"/>
    <pageSetUpPr fitToPage="1"/>
  </sheetPr>
  <dimension ref="A1:P26"/>
  <sheetViews>
    <sheetView view="pageBreakPreview" zoomScale="90" zoomScaleSheetLayoutView="90" workbookViewId="0">
      <selection activeCell="D10" sqref="D10"/>
    </sheetView>
  </sheetViews>
  <sheetFormatPr defaultColWidth="9.140625" defaultRowHeight="15" x14ac:dyDescent="0.3"/>
  <cols>
    <col min="1" max="1" width="8.5703125" style="509" customWidth="1"/>
    <col min="2" max="2" width="20" style="509" customWidth="1"/>
    <col min="3" max="3" width="11.85546875" style="766" customWidth="1"/>
    <col min="4" max="4" width="14" style="509" customWidth="1"/>
    <col min="5" max="13" width="8.7109375" style="509" customWidth="1"/>
    <col min="14" max="16384" width="9.140625" style="509"/>
  </cols>
  <sheetData>
    <row r="1" spans="1:16" x14ac:dyDescent="0.3">
      <c r="H1" s="1513"/>
      <c r="I1" s="1513"/>
      <c r="L1" s="511" t="s">
        <v>514</v>
      </c>
    </row>
    <row r="2" spans="1:16" x14ac:dyDescent="0.3">
      <c r="D2" s="1513" t="s">
        <v>463</v>
      </c>
      <c r="E2" s="1513"/>
      <c r="F2" s="1513"/>
      <c r="G2" s="1513"/>
      <c r="H2" s="510"/>
      <c r="I2" s="510"/>
      <c r="L2" s="511"/>
    </row>
    <row r="3" spans="1:16" s="512" customFormat="1" ht="16.5" x14ac:dyDescent="0.3">
      <c r="A3" s="1514" t="s">
        <v>850</v>
      </c>
      <c r="B3" s="1514"/>
      <c r="C3" s="1514"/>
      <c r="D3" s="1514"/>
      <c r="E3" s="1514"/>
      <c r="F3" s="1514"/>
      <c r="G3" s="1514"/>
      <c r="H3" s="1514"/>
      <c r="I3" s="1514"/>
      <c r="J3" s="1514"/>
      <c r="K3" s="1514"/>
      <c r="L3" s="1514"/>
      <c r="M3" s="1514"/>
    </row>
    <row r="4" spans="1:16" s="512" customFormat="1" ht="20.25" customHeight="1" x14ac:dyDescent="0.3">
      <c r="A4" s="1514" t="s">
        <v>851</v>
      </c>
      <c r="B4" s="1514"/>
      <c r="C4" s="1514"/>
      <c r="D4" s="1514"/>
      <c r="E4" s="1514"/>
      <c r="F4" s="1514"/>
      <c r="G4" s="1514"/>
      <c r="H4" s="1514"/>
      <c r="I4" s="1514"/>
      <c r="J4" s="1514"/>
      <c r="K4" s="1514"/>
      <c r="L4" s="1514"/>
      <c r="M4" s="1514"/>
    </row>
    <row r="6" spans="1:16" s="514" customFormat="1" ht="15" customHeight="1" x14ac:dyDescent="0.3">
      <c r="A6" s="513" t="s">
        <v>687</v>
      </c>
      <c r="B6" s="513"/>
      <c r="C6" s="767"/>
      <c r="D6" s="513"/>
      <c r="E6" s="513"/>
      <c r="F6" s="513"/>
      <c r="G6" s="513"/>
      <c r="H6" s="513"/>
      <c r="I6" s="513"/>
      <c r="J6" s="513"/>
      <c r="K6" s="1515" t="s">
        <v>924</v>
      </c>
      <c r="L6" s="1515"/>
      <c r="M6" s="1515"/>
    </row>
    <row r="7" spans="1:16" s="514" customFormat="1" ht="20.25" customHeight="1" x14ac:dyDescent="0.3">
      <c r="A7" s="1447" t="s">
        <v>2</v>
      </c>
      <c r="B7" s="1447" t="s">
        <v>3</v>
      </c>
      <c r="C7" s="1517" t="s">
        <v>257</v>
      </c>
      <c r="D7" s="1517" t="s">
        <v>258</v>
      </c>
      <c r="E7" s="1519" t="s">
        <v>259</v>
      </c>
      <c r="F7" s="1519"/>
      <c r="G7" s="1519"/>
      <c r="H7" s="1519"/>
      <c r="I7" s="1519"/>
      <c r="J7" s="1519"/>
      <c r="K7" s="1517"/>
      <c r="L7" s="1517"/>
      <c r="M7" s="1517"/>
    </row>
    <row r="8" spans="1:16" s="514" customFormat="1" ht="43.5" customHeight="1" x14ac:dyDescent="0.3">
      <c r="A8" s="1516"/>
      <c r="B8" s="1516"/>
      <c r="C8" s="1518"/>
      <c r="D8" s="1518"/>
      <c r="E8" s="515" t="s">
        <v>260</v>
      </c>
      <c r="F8" s="515" t="s">
        <v>261</v>
      </c>
      <c r="G8" s="515" t="s">
        <v>262</v>
      </c>
      <c r="H8" s="515" t="s">
        <v>263</v>
      </c>
      <c r="I8" s="515" t="s">
        <v>264</v>
      </c>
      <c r="J8" s="515" t="s">
        <v>265</v>
      </c>
      <c r="K8" s="515" t="s">
        <v>266</v>
      </c>
      <c r="L8" s="515" t="s">
        <v>267</v>
      </c>
      <c r="M8" s="515" t="s">
        <v>268</v>
      </c>
      <c r="N8" s="1031" t="s">
        <v>953</v>
      </c>
      <c r="O8" s="1031" t="s">
        <v>954</v>
      </c>
      <c r="P8" s="1031" t="s">
        <v>992</v>
      </c>
    </row>
    <row r="9" spans="1:16" s="514" customFormat="1" ht="12.75" customHeight="1" x14ac:dyDescent="0.3">
      <c r="A9" s="516">
        <v>1</v>
      </c>
      <c r="B9" s="516">
        <v>2</v>
      </c>
      <c r="C9" s="768">
        <v>3</v>
      </c>
      <c r="D9" s="516">
        <v>4</v>
      </c>
      <c r="E9" s="516">
        <v>5</v>
      </c>
      <c r="F9" s="516">
        <v>6</v>
      </c>
      <c r="G9" s="516">
        <v>7</v>
      </c>
      <c r="H9" s="516">
        <v>8</v>
      </c>
      <c r="I9" s="516">
        <v>9</v>
      </c>
      <c r="J9" s="516">
        <v>10</v>
      </c>
      <c r="K9" s="516">
        <v>11</v>
      </c>
      <c r="L9" s="516">
        <v>12</v>
      </c>
      <c r="M9" s="516">
        <v>13</v>
      </c>
      <c r="N9" s="1030"/>
      <c r="O9" s="1030"/>
      <c r="P9" s="1030"/>
    </row>
    <row r="10" spans="1:16" s="694" customFormat="1" ht="24" customHeight="1" x14ac:dyDescent="0.2">
      <c r="A10" s="693">
        <v>1</v>
      </c>
      <c r="B10" s="660" t="s">
        <v>703</v>
      </c>
      <c r="C10" s="769">
        <v>3200</v>
      </c>
      <c r="D10" s="660">
        <v>3200</v>
      </c>
      <c r="E10" s="660">
        <v>3113</v>
      </c>
      <c r="F10" s="660">
        <v>3113</v>
      </c>
      <c r="G10" s="660">
        <v>3107</v>
      </c>
      <c r="H10" s="660">
        <v>3086</v>
      </c>
      <c r="I10" s="660">
        <v>3080</v>
      </c>
      <c r="J10" s="660">
        <v>3077</v>
      </c>
      <c r="K10" s="660">
        <v>3076</v>
      </c>
      <c r="L10" s="660">
        <v>3076</v>
      </c>
      <c r="M10" s="660">
        <v>3026</v>
      </c>
      <c r="N10" s="660">
        <v>2941</v>
      </c>
      <c r="O10" s="660">
        <v>2724</v>
      </c>
      <c r="P10" s="660">
        <v>2592</v>
      </c>
    </row>
    <row r="11" spans="1:16" s="694" customFormat="1" ht="24" customHeight="1" x14ac:dyDescent="0.2">
      <c r="A11" s="693">
        <v>2</v>
      </c>
      <c r="B11" s="660" t="s">
        <v>704</v>
      </c>
      <c r="C11" s="769">
        <v>2736</v>
      </c>
      <c r="D11" s="660">
        <v>2502</v>
      </c>
      <c r="E11" s="660">
        <v>1445</v>
      </c>
      <c r="F11" s="660">
        <v>1408</v>
      </c>
      <c r="G11" s="660">
        <v>1364</v>
      </c>
      <c r="H11" s="660">
        <v>1312</v>
      </c>
      <c r="I11" s="660">
        <v>1309</v>
      </c>
      <c r="J11" s="660">
        <v>1149</v>
      </c>
      <c r="K11" s="660">
        <v>1138</v>
      </c>
      <c r="L11" s="660">
        <v>1077</v>
      </c>
      <c r="M11" s="660">
        <v>1019</v>
      </c>
      <c r="N11" s="660">
        <v>951</v>
      </c>
      <c r="O11" s="660">
        <v>856</v>
      </c>
      <c r="P11" s="660">
        <v>444</v>
      </c>
    </row>
    <row r="12" spans="1:16" s="694" customFormat="1" ht="24" customHeight="1" x14ac:dyDescent="0.2">
      <c r="A12" s="693">
        <v>3</v>
      </c>
      <c r="B12" s="660" t="s">
        <v>705</v>
      </c>
      <c r="C12" s="769">
        <v>3855</v>
      </c>
      <c r="D12" s="660">
        <v>3855</v>
      </c>
      <c r="E12" s="660">
        <v>3855</v>
      </c>
      <c r="F12" s="660">
        <v>3855</v>
      </c>
      <c r="G12" s="660">
        <v>3855</v>
      </c>
      <c r="H12" s="660">
        <v>3855</v>
      </c>
      <c r="I12" s="660">
        <v>3855</v>
      </c>
      <c r="J12" s="660">
        <v>3855</v>
      </c>
      <c r="K12" s="660">
        <v>3855</v>
      </c>
      <c r="L12" s="660">
        <v>3855</v>
      </c>
      <c r="M12" s="660">
        <v>3855</v>
      </c>
      <c r="N12" s="660">
        <v>3855</v>
      </c>
      <c r="O12" s="660">
        <v>3814</v>
      </c>
      <c r="P12" s="660">
        <v>3695</v>
      </c>
    </row>
    <row r="13" spans="1:16" s="694" customFormat="1" ht="24" customHeight="1" x14ac:dyDescent="0.2">
      <c r="A13" s="693">
        <v>4</v>
      </c>
      <c r="B13" s="660" t="s">
        <v>706</v>
      </c>
      <c r="C13" s="769">
        <v>4128</v>
      </c>
      <c r="D13" s="660">
        <v>4060</v>
      </c>
      <c r="E13" s="660">
        <v>4058</v>
      </c>
      <c r="F13" s="660">
        <v>4058</v>
      </c>
      <c r="G13" s="660">
        <v>4057</v>
      </c>
      <c r="H13" s="660">
        <v>4057</v>
      </c>
      <c r="I13" s="660">
        <v>4057</v>
      </c>
      <c r="J13" s="660">
        <v>4057</v>
      </c>
      <c r="K13" s="660">
        <v>4057</v>
      </c>
      <c r="L13" s="660">
        <v>4057</v>
      </c>
      <c r="M13" s="660">
        <v>4057</v>
      </c>
      <c r="N13" s="660">
        <v>4057</v>
      </c>
      <c r="O13" s="660">
        <v>4057</v>
      </c>
      <c r="P13" s="660">
        <v>4046</v>
      </c>
    </row>
    <row r="14" spans="1:16" s="694" customFormat="1" ht="24" customHeight="1" x14ac:dyDescent="0.2">
      <c r="A14" s="693">
        <v>5</v>
      </c>
      <c r="B14" s="695" t="s">
        <v>707</v>
      </c>
      <c r="C14" s="770">
        <v>3178</v>
      </c>
      <c r="D14" s="695">
        <v>3178</v>
      </c>
      <c r="E14" s="695">
        <v>3178</v>
      </c>
      <c r="F14" s="695">
        <v>3178</v>
      </c>
      <c r="G14" s="695">
        <v>3178</v>
      </c>
      <c r="H14" s="695">
        <v>3178</v>
      </c>
      <c r="I14" s="695">
        <v>3178</v>
      </c>
      <c r="J14" s="660">
        <v>3178</v>
      </c>
      <c r="K14" s="660">
        <v>3178</v>
      </c>
      <c r="L14" s="660">
        <v>3172</v>
      </c>
      <c r="M14" s="660">
        <v>3123</v>
      </c>
      <c r="N14" s="660">
        <v>3122</v>
      </c>
      <c r="O14" s="660">
        <v>3122</v>
      </c>
      <c r="P14" s="660">
        <v>3053</v>
      </c>
    </row>
    <row r="15" spans="1:16" s="694" customFormat="1" ht="24" customHeight="1" x14ac:dyDescent="0.2">
      <c r="A15" s="693">
        <v>6</v>
      </c>
      <c r="B15" s="695" t="s">
        <v>708</v>
      </c>
      <c r="C15" s="770">
        <v>3291</v>
      </c>
      <c r="D15" s="695">
        <v>3252</v>
      </c>
      <c r="E15" s="695">
        <v>3141</v>
      </c>
      <c r="F15" s="695">
        <v>3125</v>
      </c>
      <c r="G15" s="695">
        <v>3066</v>
      </c>
      <c r="H15" s="695">
        <v>3061</v>
      </c>
      <c r="I15" s="695">
        <v>3059</v>
      </c>
      <c r="J15" s="660">
        <v>2876</v>
      </c>
      <c r="K15" s="660">
        <v>2817</v>
      </c>
      <c r="L15" s="660">
        <v>2359</v>
      </c>
      <c r="M15" s="660">
        <v>2275</v>
      </c>
      <c r="N15" s="660">
        <v>1861</v>
      </c>
      <c r="O15" s="660">
        <v>1463</v>
      </c>
      <c r="P15" s="660">
        <v>1312</v>
      </c>
    </row>
    <row r="16" spans="1:16" s="694" customFormat="1" ht="24" customHeight="1" x14ac:dyDescent="0.2">
      <c r="A16" s="693">
        <v>7</v>
      </c>
      <c r="B16" s="660" t="s">
        <v>709</v>
      </c>
      <c r="C16" s="769">
        <v>3575</v>
      </c>
      <c r="D16" s="660">
        <v>3567</v>
      </c>
      <c r="E16" s="660">
        <v>3415</v>
      </c>
      <c r="F16" s="660">
        <v>3414</v>
      </c>
      <c r="G16" s="660">
        <v>3355</v>
      </c>
      <c r="H16" s="660">
        <v>3348</v>
      </c>
      <c r="I16" s="660">
        <v>3341</v>
      </c>
      <c r="J16" s="660">
        <v>3238</v>
      </c>
      <c r="K16" s="660">
        <v>3181</v>
      </c>
      <c r="L16" s="660">
        <v>3052</v>
      </c>
      <c r="M16" s="660">
        <v>3046</v>
      </c>
      <c r="N16" s="660">
        <v>2845</v>
      </c>
      <c r="O16" s="660">
        <v>2699</v>
      </c>
      <c r="P16" s="660">
        <v>2226</v>
      </c>
    </row>
    <row r="17" spans="1:16" s="694" customFormat="1" ht="24" customHeight="1" x14ac:dyDescent="0.2">
      <c r="A17" s="693">
        <v>8</v>
      </c>
      <c r="B17" s="660" t="s">
        <v>710</v>
      </c>
      <c r="C17" s="769">
        <v>3358</v>
      </c>
      <c r="D17" s="660">
        <v>3338</v>
      </c>
      <c r="E17" s="660">
        <v>3331</v>
      </c>
      <c r="F17" s="660">
        <v>3325</v>
      </c>
      <c r="G17" s="660">
        <v>3325</v>
      </c>
      <c r="H17" s="660">
        <v>3323</v>
      </c>
      <c r="I17" s="660">
        <v>3323</v>
      </c>
      <c r="J17" s="660">
        <v>3323</v>
      </c>
      <c r="K17" s="660">
        <v>3323</v>
      </c>
      <c r="L17" s="660">
        <v>3320</v>
      </c>
      <c r="M17" s="660">
        <v>3320</v>
      </c>
      <c r="N17" s="660">
        <v>3320</v>
      </c>
      <c r="O17" s="660">
        <v>3320</v>
      </c>
      <c r="P17" s="660">
        <v>3317</v>
      </c>
    </row>
    <row r="18" spans="1:16" s="694" customFormat="1" ht="24" customHeight="1" x14ac:dyDescent="0.2">
      <c r="A18" s="693">
        <v>9</v>
      </c>
      <c r="B18" s="660" t="s">
        <v>711</v>
      </c>
      <c r="C18" s="769">
        <v>3420</v>
      </c>
      <c r="D18" s="660">
        <v>3419</v>
      </c>
      <c r="E18" s="660">
        <v>3412</v>
      </c>
      <c r="F18" s="660">
        <v>3412</v>
      </c>
      <c r="G18" s="660">
        <v>3398</v>
      </c>
      <c r="H18" s="660">
        <v>3396</v>
      </c>
      <c r="I18" s="660">
        <v>3395</v>
      </c>
      <c r="J18" s="660">
        <v>3394</v>
      </c>
      <c r="K18" s="660">
        <v>3394</v>
      </c>
      <c r="L18" s="660">
        <v>3394</v>
      </c>
      <c r="M18" s="660">
        <v>3378</v>
      </c>
      <c r="N18" s="660">
        <v>3366</v>
      </c>
      <c r="O18" s="660">
        <v>3330</v>
      </c>
      <c r="P18" s="660">
        <v>3225</v>
      </c>
    </row>
    <row r="19" spans="1:16" s="694" customFormat="1" ht="24" customHeight="1" x14ac:dyDescent="0.2">
      <c r="A19" s="693">
        <v>10</v>
      </c>
      <c r="B19" s="660" t="s">
        <v>712</v>
      </c>
      <c r="C19" s="769">
        <v>4948</v>
      </c>
      <c r="D19" s="660">
        <v>4886</v>
      </c>
      <c r="E19" s="660">
        <v>4818</v>
      </c>
      <c r="F19" s="660">
        <v>4818</v>
      </c>
      <c r="G19" s="660">
        <v>4817</v>
      </c>
      <c r="H19" s="660">
        <v>4817</v>
      </c>
      <c r="I19" s="660">
        <v>4817</v>
      </c>
      <c r="J19" s="660">
        <v>4694</v>
      </c>
      <c r="K19" s="660">
        <v>4694</v>
      </c>
      <c r="L19" s="660">
        <v>4694</v>
      </c>
      <c r="M19" s="660">
        <v>4694</v>
      </c>
      <c r="N19" s="660">
        <v>4421</v>
      </c>
      <c r="O19" s="660">
        <v>4360</v>
      </c>
      <c r="P19" s="660">
        <v>4178</v>
      </c>
    </row>
    <row r="20" spans="1:16" s="694" customFormat="1" ht="24" customHeight="1" x14ac:dyDescent="0.2">
      <c r="A20" s="693">
        <v>11</v>
      </c>
      <c r="B20" s="660" t="s">
        <v>740</v>
      </c>
      <c r="C20" s="769">
        <v>3399</v>
      </c>
      <c r="D20" s="660">
        <v>3398</v>
      </c>
      <c r="E20" s="660">
        <v>3398</v>
      </c>
      <c r="F20" s="660">
        <v>3397</v>
      </c>
      <c r="G20" s="660">
        <v>3397</v>
      </c>
      <c r="H20" s="660">
        <v>3396</v>
      </c>
      <c r="I20" s="660">
        <v>3396</v>
      </c>
      <c r="J20" s="660">
        <v>3396</v>
      </c>
      <c r="K20" s="660">
        <v>3396</v>
      </c>
      <c r="L20" s="660">
        <v>3396</v>
      </c>
      <c r="M20" s="660">
        <v>3396</v>
      </c>
      <c r="N20" s="660">
        <v>3396</v>
      </c>
      <c r="O20" s="660">
        <v>3396</v>
      </c>
      <c r="P20" s="660">
        <v>3396</v>
      </c>
    </row>
    <row r="21" spans="1:16" s="694" customFormat="1" ht="24" customHeight="1" x14ac:dyDescent="0.2">
      <c r="A21" s="693">
        <v>12</v>
      </c>
      <c r="B21" s="660" t="s">
        <v>714</v>
      </c>
      <c r="C21" s="769">
        <v>3861</v>
      </c>
      <c r="D21" s="660">
        <v>3857</v>
      </c>
      <c r="E21" s="660">
        <v>3843</v>
      </c>
      <c r="F21" s="660">
        <v>3841</v>
      </c>
      <c r="G21" s="660">
        <v>3756</v>
      </c>
      <c r="H21" s="660">
        <v>3735</v>
      </c>
      <c r="I21" s="660">
        <v>3658</v>
      </c>
      <c r="J21" s="660">
        <v>3605</v>
      </c>
      <c r="K21" s="660">
        <v>3592</v>
      </c>
      <c r="L21" s="660">
        <v>3371</v>
      </c>
      <c r="M21" s="660">
        <v>3227</v>
      </c>
      <c r="N21" s="660">
        <v>2626</v>
      </c>
      <c r="O21" s="660">
        <v>2322</v>
      </c>
      <c r="P21" s="660">
        <v>2133</v>
      </c>
    </row>
    <row r="22" spans="1:16" s="694" customFormat="1" ht="24" customHeight="1" x14ac:dyDescent="0.2">
      <c r="A22" s="693">
        <v>13</v>
      </c>
      <c r="B22" s="660" t="s">
        <v>715</v>
      </c>
      <c r="C22" s="769">
        <v>2914</v>
      </c>
      <c r="D22" s="660">
        <v>2914</v>
      </c>
      <c r="E22" s="660">
        <v>2914</v>
      </c>
      <c r="F22" s="660">
        <v>2914</v>
      </c>
      <c r="G22" s="660">
        <v>2914</v>
      </c>
      <c r="H22" s="660">
        <v>2914</v>
      </c>
      <c r="I22" s="660">
        <v>2914</v>
      </c>
      <c r="J22" s="660">
        <v>2914</v>
      </c>
      <c r="K22" s="660">
        <v>2914</v>
      </c>
      <c r="L22" s="660">
        <v>2914</v>
      </c>
      <c r="M22" s="660">
        <v>2914</v>
      </c>
      <c r="N22" s="660">
        <v>2877</v>
      </c>
      <c r="O22" s="660">
        <v>2876</v>
      </c>
      <c r="P22" s="660">
        <v>2867</v>
      </c>
    </row>
    <row r="23" spans="1:16" s="653" customFormat="1" ht="24" customHeight="1" x14ac:dyDescent="0.2">
      <c r="A23" s="658"/>
      <c r="B23" s="696" t="s">
        <v>13</v>
      </c>
      <c r="C23" s="771">
        <f>SUM(C10:C22)</f>
        <v>45863</v>
      </c>
      <c r="D23" s="771">
        <f t="shared" ref="D23:P23" si="0">SUM(D10:D22)</f>
        <v>45426</v>
      </c>
      <c r="E23" s="771">
        <f t="shared" si="0"/>
        <v>43921</v>
      </c>
      <c r="F23" s="771">
        <f t="shared" si="0"/>
        <v>43858</v>
      </c>
      <c r="G23" s="771">
        <f t="shared" si="0"/>
        <v>43589</v>
      </c>
      <c r="H23" s="771">
        <f t="shared" si="0"/>
        <v>43478</v>
      </c>
      <c r="I23" s="771">
        <f t="shared" si="0"/>
        <v>43382</v>
      </c>
      <c r="J23" s="771">
        <f t="shared" si="0"/>
        <v>42756</v>
      </c>
      <c r="K23" s="771">
        <f t="shared" si="0"/>
        <v>42615</v>
      </c>
      <c r="L23" s="771">
        <f t="shared" si="0"/>
        <v>41737</v>
      </c>
      <c r="M23" s="771">
        <f t="shared" si="0"/>
        <v>41330</v>
      </c>
      <c r="N23" s="771">
        <f t="shared" si="0"/>
        <v>39638</v>
      </c>
      <c r="O23" s="771">
        <f t="shared" si="0"/>
        <v>38339</v>
      </c>
      <c r="P23" s="771">
        <f t="shared" si="0"/>
        <v>36484</v>
      </c>
    </row>
    <row r="26" spans="1:16" s="227" customFormat="1" ht="60" customHeight="1" x14ac:dyDescent="0.2">
      <c r="A26" s="1520" t="s">
        <v>676</v>
      </c>
      <c r="B26" s="1520"/>
      <c r="C26" s="436"/>
      <c r="D26" s="235"/>
      <c r="E26" s="235"/>
      <c r="I26" s="1415" t="s">
        <v>646</v>
      </c>
      <c r="J26" s="1415"/>
      <c r="K26" s="1415"/>
      <c r="L26" s="1415"/>
      <c r="M26" s="1415"/>
    </row>
  </sheetData>
  <mergeCells count="12">
    <mergeCell ref="I26:M26"/>
    <mergeCell ref="H1:I1"/>
    <mergeCell ref="A3:M3"/>
    <mergeCell ref="A4:M4"/>
    <mergeCell ref="K6:M6"/>
    <mergeCell ref="A7:A8"/>
    <mergeCell ref="B7:B8"/>
    <mergeCell ref="D2:G2"/>
    <mergeCell ref="C7:C8"/>
    <mergeCell ref="D7:D8"/>
    <mergeCell ref="E7:M7"/>
    <mergeCell ref="A26:B26"/>
  </mergeCells>
  <printOptions horizontalCentered="1"/>
  <pageMargins left="0.70866141732283472" right="7.874015748031496E-2" top="0.23622047244094491" bottom="0" header="7.874015748031496E-2" footer="7.874015748031496E-2"/>
  <pageSetup paperSize="9" scale="87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5" tint="0.59999389629810485"/>
    <pageSetUpPr fitToPage="1"/>
  </sheetPr>
  <dimension ref="A1:M26"/>
  <sheetViews>
    <sheetView view="pageBreakPreview" topLeftCell="A6" zoomScale="90" zoomScaleSheetLayoutView="90" workbookViewId="0">
      <selection activeCell="C32" sqref="C32"/>
    </sheetView>
  </sheetViews>
  <sheetFormatPr defaultColWidth="9.140625" defaultRowHeight="15" x14ac:dyDescent="0.25"/>
  <cols>
    <col min="1" max="1" width="8.5703125" style="651" customWidth="1"/>
    <col min="2" max="2" width="17.85546875" style="651" customWidth="1"/>
    <col min="3" max="3" width="12.5703125" style="651" customWidth="1"/>
    <col min="4" max="4" width="17.140625" style="651" customWidth="1"/>
    <col min="5" max="13" width="11" style="651" customWidth="1"/>
    <col min="14" max="16384" width="9.140625" style="651"/>
  </cols>
  <sheetData>
    <row r="1" spans="1:13" x14ac:dyDescent="0.25">
      <c r="E1" s="1514"/>
      <c r="F1" s="1514"/>
      <c r="L1" s="1521" t="s">
        <v>546</v>
      </c>
      <c r="M1" s="1521"/>
    </row>
    <row r="2" spans="1:13" x14ac:dyDescent="0.25">
      <c r="D2" s="615" t="s">
        <v>463</v>
      </c>
      <c r="E2" s="615"/>
      <c r="F2" s="615"/>
      <c r="I2" s="652"/>
    </row>
    <row r="3" spans="1:13" x14ac:dyDescent="0.25">
      <c r="A3" s="1514" t="s">
        <v>850</v>
      </c>
      <c r="B3" s="1514"/>
      <c r="C3" s="1514"/>
      <c r="D3" s="1514"/>
      <c r="E3" s="1514"/>
      <c r="F3" s="1514"/>
      <c r="G3" s="1514"/>
      <c r="H3" s="1514"/>
      <c r="I3" s="1514"/>
      <c r="J3" s="1514"/>
    </row>
    <row r="4" spans="1:13" ht="20.25" customHeight="1" x14ac:dyDescent="0.25">
      <c r="A4" s="1514" t="s">
        <v>852</v>
      </c>
      <c r="B4" s="1514"/>
      <c r="C4" s="1514"/>
      <c r="D4" s="1514"/>
      <c r="E4" s="1514"/>
      <c r="F4" s="1514"/>
      <c r="G4" s="1514"/>
      <c r="H4" s="1514"/>
      <c r="I4" s="1514"/>
      <c r="J4" s="1514"/>
    </row>
    <row r="6" spans="1:13" x14ac:dyDescent="0.25">
      <c r="A6" s="653" t="s">
        <v>687</v>
      </c>
      <c r="B6" s="654"/>
      <c r="C6" s="654"/>
      <c r="D6" s="654"/>
      <c r="E6" s="654"/>
      <c r="F6" s="654"/>
      <c r="G6" s="654"/>
      <c r="H6" s="653"/>
      <c r="I6" s="653"/>
      <c r="J6" s="653"/>
      <c r="K6" s="1522" t="s">
        <v>924</v>
      </c>
      <c r="L6" s="1522"/>
      <c r="M6" s="1522"/>
    </row>
    <row r="7" spans="1:13" s="655" customFormat="1" ht="20.25" customHeight="1" x14ac:dyDescent="0.25">
      <c r="A7" s="1523" t="s">
        <v>2</v>
      </c>
      <c r="B7" s="1523" t="s">
        <v>3</v>
      </c>
      <c r="C7" s="1525" t="s">
        <v>257</v>
      </c>
      <c r="D7" s="1525" t="s">
        <v>544</v>
      </c>
      <c r="E7" s="1527" t="s">
        <v>545</v>
      </c>
      <c r="F7" s="1527"/>
      <c r="G7" s="1527"/>
      <c r="H7" s="1527"/>
      <c r="I7" s="1527"/>
      <c r="J7" s="1527"/>
      <c r="K7" s="1527"/>
      <c r="L7" s="1527"/>
      <c r="M7" s="1527"/>
    </row>
    <row r="8" spans="1:13" s="655" customFormat="1" ht="45" customHeight="1" x14ac:dyDescent="0.25">
      <c r="A8" s="1524"/>
      <c r="B8" s="1524"/>
      <c r="C8" s="1526"/>
      <c r="D8" s="1526"/>
      <c r="E8" s="656" t="s">
        <v>263</v>
      </c>
      <c r="F8" s="656" t="s">
        <v>264</v>
      </c>
      <c r="G8" s="656" t="s">
        <v>265</v>
      </c>
      <c r="H8" s="656" t="s">
        <v>266</v>
      </c>
      <c r="I8" s="656" t="s">
        <v>267</v>
      </c>
      <c r="J8" s="656" t="s">
        <v>268</v>
      </c>
      <c r="K8" s="656" t="s">
        <v>953</v>
      </c>
      <c r="L8" s="656" t="s">
        <v>954</v>
      </c>
      <c r="M8" s="656" t="s">
        <v>955</v>
      </c>
    </row>
    <row r="9" spans="1:13" s="655" customFormat="1" ht="12.75" customHeight="1" x14ac:dyDescent="0.25">
      <c r="A9" s="657">
        <v>1</v>
      </c>
      <c r="B9" s="657">
        <v>2</v>
      </c>
      <c r="C9" s="657">
        <v>3</v>
      </c>
      <c r="D9" s="657">
        <v>4</v>
      </c>
      <c r="E9" s="657">
        <v>5</v>
      </c>
      <c r="F9" s="657">
        <v>6</v>
      </c>
      <c r="G9" s="657">
        <v>7</v>
      </c>
      <c r="H9" s="657">
        <v>8</v>
      </c>
      <c r="I9" s="657">
        <v>9</v>
      </c>
      <c r="J9" s="657">
        <v>10</v>
      </c>
      <c r="K9" s="657">
        <v>11</v>
      </c>
      <c r="L9" s="657">
        <v>12</v>
      </c>
      <c r="M9" s="657">
        <v>13</v>
      </c>
    </row>
    <row r="10" spans="1:13" s="659" customFormat="1" ht="21" customHeight="1" x14ac:dyDescent="0.3">
      <c r="A10" s="233">
        <v>1</v>
      </c>
      <c r="B10" s="173" t="s">
        <v>647</v>
      </c>
      <c r="C10" s="995">
        <v>3154</v>
      </c>
      <c r="D10" s="995">
        <v>3154</v>
      </c>
      <c r="E10" s="993">
        <v>1735</v>
      </c>
      <c r="F10" s="993">
        <v>1892</v>
      </c>
      <c r="G10" s="993">
        <v>2050</v>
      </c>
      <c r="H10" s="993">
        <v>2208</v>
      </c>
      <c r="I10" s="993">
        <v>2366</v>
      </c>
      <c r="J10" s="993">
        <v>2523</v>
      </c>
      <c r="K10" s="992">
        <v>2839</v>
      </c>
      <c r="L10" s="992">
        <v>2902</v>
      </c>
      <c r="M10" s="996">
        <v>2779</v>
      </c>
    </row>
    <row r="11" spans="1:13" s="659" customFormat="1" ht="21" customHeight="1" x14ac:dyDescent="0.3">
      <c r="A11" s="233">
        <v>2</v>
      </c>
      <c r="B11" s="173" t="s">
        <v>648</v>
      </c>
      <c r="C11" s="995">
        <v>2693</v>
      </c>
      <c r="D11" s="995">
        <v>2683</v>
      </c>
      <c r="E11" s="993">
        <v>1476</v>
      </c>
      <c r="F11" s="993">
        <v>1610</v>
      </c>
      <c r="G11" s="993">
        <v>1744</v>
      </c>
      <c r="H11" s="993">
        <v>1878</v>
      </c>
      <c r="I11" s="993">
        <v>2012</v>
      </c>
      <c r="J11" s="993">
        <v>2146</v>
      </c>
      <c r="K11" s="992">
        <v>2415</v>
      </c>
      <c r="L11" s="992">
        <v>2468</v>
      </c>
      <c r="M11" s="996">
        <v>2313</v>
      </c>
    </row>
    <row r="12" spans="1:13" s="659" customFormat="1" ht="21" customHeight="1" x14ac:dyDescent="0.3">
      <c r="A12" s="233">
        <v>3</v>
      </c>
      <c r="B12" s="173" t="s">
        <v>649</v>
      </c>
      <c r="C12" s="995">
        <v>3871</v>
      </c>
      <c r="D12" s="995">
        <v>3874</v>
      </c>
      <c r="E12" s="993">
        <v>2131</v>
      </c>
      <c r="F12" s="993">
        <v>2324</v>
      </c>
      <c r="G12" s="993">
        <v>2518</v>
      </c>
      <c r="H12" s="993">
        <v>2712</v>
      </c>
      <c r="I12" s="993">
        <v>2906</v>
      </c>
      <c r="J12" s="993">
        <v>3099</v>
      </c>
      <c r="K12" s="992">
        <v>3487</v>
      </c>
      <c r="L12" s="992">
        <v>3564</v>
      </c>
      <c r="M12" s="996">
        <v>3451</v>
      </c>
    </row>
    <row r="13" spans="1:13" s="659" customFormat="1" ht="21" customHeight="1" x14ac:dyDescent="0.3">
      <c r="A13" s="233">
        <v>4</v>
      </c>
      <c r="B13" s="173" t="s">
        <v>650</v>
      </c>
      <c r="C13" s="995">
        <v>4253</v>
      </c>
      <c r="D13" s="995">
        <v>4221</v>
      </c>
      <c r="E13" s="993">
        <v>2322</v>
      </c>
      <c r="F13" s="993">
        <v>2533</v>
      </c>
      <c r="G13" s="993">
        <v>2744</v>
      </c>
      <c r="H13" s="993">
        <v>2955</v>
      </c>
      <c r="I13" s="993">
        <v>3166</v>
      </c>
      <c r="J13" s="993">
        <v>3377</v>
      </c>
      <c r="K13" s="992">
        <v>3799</v>
      </c>
      <c r="L13" s="992">
        <v>3883</v>
      </c>
      <c r="M13" s="996">
        <v>3781</v>
      </c>
    </row>
    <row r="14" spans="1:13" s="659" customFormat="1" ht="21" customHeight="1" x14ac:dyDescent="0.3">
      <c r="A14" s="233">
        <v>5</v>
      </c>
      <c r="B14" s="173" t="s">
        <v>651</v>
      </c>
      <c r="C14" s="995">
        <v>3228</v>
      </c>
      <c r="D14" s="995">
        <v>3201</v>
      </c>
      <c r="E14" s="998">
        <v>1761</v>
      </c>
      <c r="F14" s="998">
        <v>1921</v>
      </c>
      <c r="G14" s="998">
        <v>2081</v>
      </c>
      <c r="H14" s="998">
        <v>2654</v>
      </c>
      <c r="I14" s="998">
        <v>2986</v>
      </c>
      <c r="J14" s="998">
        <v>3004</v>
      </c>
      <c r="K14" s="992">
        <v>3084</v>
      </c>
      <c r="L14" s="992">
        <v>3174</v>
      </c>
      <c r="M14" s="996">
        <v>3098</v>
      </c>
    </row>
    <row r="15" spans="1:13" s="659" customFormat="1" ht="21" customHeight="1" x14ac:dyDescent="0.3">
      <c r="A15" s="233">
        <v>6</v>
      </c>
      <c r="B15" s="173" t="s">
        <v>652</v>
      </c>
      <c r="C15" s="995">
        <v>3122</v>
      </c>
      <c r="D15" s="995">
        <v>3112</v>
      </c>
      <c r="E15" s="993">
        <v>1712</v>
      </c>
      <c r="F15" s="993">
        <v>1867</v>
      </c>
      <c r="G15" s="993">
        <v>2023</v>
      </c>
      <c r="H15" s="993">
        <v>2178</v>
      </c>
      <c r="I15" s="993">
        <v>2334</v>
      </c>
      <c r="J15" s="993">
        <v>2490</v>
      </c>
      <c r="K15" s="992">
        <v>2801</v>
      </c>
      <c r="L15" s="992">
        <v>2945</v>
      </c>
      <c r="M15" s="996">
        <v>2739</v>
      </c>
    </row>
    <row r="16" spans="1:13" s="659" customFormat="1" ht="21" customHeight="1" x14ac:dyDescent="0.3">
      <c r="A16" s="233">
        <v>7</v>
      </c>
      <c r="B16" s="173" t="s">
        <v>653</v>
      </c>
      <c r="C16" s="995">
        <v>3537</v>
      </c>
      <c r="D16" s="995">
        <v>3561</v>
      </c>
      <c r="E16" s="993">
        <v>1959</v>
      </c>
      <c r="F16" s="993">
        <v>2137</v>
      </c>
      <c r="G16" s="993">
        <v>2315</v>
      </c>
      <c r="H16" s="993">
        <v>2493</v>
      </c>
      <c r="I16" s="993">
        <v>2671</v>
      </c>
      <c r="J16" s="993">
        <v>2849</v>
      </c>
      <c r="K16" s="992">
        <v>3205</v>
      </c>
      <c r="L16" s="992">
        <v>3276</v>
      </c>
      <c r="M16" s="996">
        <v>3258</v>
      </c>
    </row>
    <row r="17" spans="1:13" s="659" customFormat="1" ht="21" customHeight="1" x14ac:dyDescent="0.3">
      <c r="A17" s="233">
        <v>8</v>
      </c>
      <c r="B17" s="173" t="s">
        <v>654</v>
      </c>
      <c r="C17" s="995">
        <v>3337</v>
      </c>
      <c r="D17" s="995">
        <v>3341</v>
      </c>
      <c r="E17" s="993">
        <v>1838</v>
      </c>
      <c r="F17" s="993">
        <v>2005</v>
      </c>
      <c r="G17" s="993">
        <v>2172</v>
      </c>
      <c r="H17" s="993">
        <v>2339</v>
      </c>
      <c r="I17" s="993">
        <v>2506</v>
      </c>
      <c r="J17" s="993">
        <v>2673</v>
      </c>
      <c r="K17" s="992">
        <v>3007</v>
      </c>
      <c r="L17" s="992">
        <v>3074</v>
      </c>
      <c r="M17" s="996">
        <v>2963</v>
      </c>
    </row>
    <row r="18" spans="1:13" s="659" customFormat="1" ht="21" customHeight="1" x14ac:dyDescent="0.3">
      <c r="A18" s="233">
        <v>9</v>
      </c>
      <c r="B18" s="173" t="s">
        <v>655</v>
      </c>
      <c r="C18" s="995">
        <v>3404</v>
      </c>
      <c r="D18" s="995">
        <v>3404</v>
      </c>
      <c r="E18" s="993">
        <v>1872</v>
      </c>
      <c r="F18" s="993">
        <v>2042</v>
      </c>
      <c r="G18" s="993">
        <v>2213</v>
      </c>
      <c r="H18" s="993">
        <v>2383</v>
      </c>
      <c r="I18" s="993">
        <v>2553</v>
      </c>
      <c r="J18" s="993">
        <v>2723</v>
      </c>
      <c r="K18" s="992">
        <v>3064</v>
      </c>
      <c r="L18" s="992">
        <v>3132</v>
      </c>
      <c r="M18" s="996">
        <v>2987</v>
      </c>
    </row>
    <row r="19" spans="1:13" s="659" customFormat="1" ht="21" customHeight="1" x14ac:dyDescent="0.3">
      <c r="A19" s="233">
        <v>10</v>
      </c>
      <c r="B19" s="173" t="s">
        <v>656</v>
      </c>
      <c r="C19" s="997">
        <v>4817</v>
      </c>
      <c r="D19" s="995">
        <v>4791</v>
      </c>
      <c r="E19" s="993">
        <v>2635</v>
      </c>
      <c r="F19" s="993">
        <v>2875</v>
      </c>
      <c r="G19" s="993">
        <v>3114</v>
      </c>
      <c r="H19" s="993">
        <v>3354</v>
      </c>
      <c r="I19" s="993">
        <v>3593</v>
      </c>
      <c r="J19" s="993">
        <v>3833</v>
      </c>
      <c r="K19" s="992">
        <v>4312</v>
      </c>
      <c r="L19" s="992">
        <v>4408</v>
      </c>
      <c r="M19" s="996">
        <v>4236</v>
      </c>
    </row>
    <row r="20" spans="1:13" s="659" customFormat="1" ht="21" customHeight="1" x14ac:dyDescent="0.3">
      <c r="A20" s="233">
        <v>11</v>
      </c>
      <c r="B20" s="173" t="s">
        <v>657</v>
      </c>
      <c r="C20" s="995">
        <v>3315</v>
      </c>
      <c r="D20" s="995">
        <v>3321</v>
      </c>
      <c r="E20" s="993">
        <v>1827</v>
      </c>
      <c r="F20" s="993">
        <v>1993</v>
      </c>
      <c r="G20" s="993">
        <v>2159</v>
      </c>
      <c r="H20" s="993">
        <v>2325</v>
      </c>
      <c r="I20" s="993">
        <v>2491</v>
      </c>
      <c r="J20" s="993">
        <v>2657</v>
      </c>
      <c r="K20" s="992">
        <v>2989</v>
      </c>
      <c r="L20" s="992">
        <v>3055</v>
      </c>
      <c r="M20" s="996">
        <v>2758</v>
      </c>
    </row>
    <row r="21" spans="1:13" s="659" customFormat="1" ht="21" customHeight="1" x14ac:dyDescent="0.3">
      <c r="A21" s="233">
        <v>12</v>
      </c>
      <c r="B21" s="173" t="s">
        <v>658</v>
      </c>
      <c r="C21" s="995">
        <v>3775</v>
      </c>
      <c r="D21" s="995">
        <v>3778</v>
      </c>
      <c r="E21" s="993">
        <v>2078</v>
      </c>
      <c r="F21" s="993">
        <v>2267</v>
      </c>
      <c r="G21" s="993">
        <v>2456</v>
      </c>
      <c r="H21" s="993">
        <v>2645</v>
      </c>
      <c r="I21" s="993">
        <v>2834</v>
      </c>
      <c r="J21" s="993">
        <v>3022</v>
      </c>
      <c r="K21" s="992">
        <v>3400</v>
      </c>
      <c r="L21" s="992">
        <v>3476</v>
      </c>
      <c r="M21" s="996">
        <v>3075</v>
      </c>
    </row>
    <row r="22" spans="1:13" s="659" customFormat="1" ht="21" customHeight="1" x14ac:dyDescent="0.3">
      <c r="A22" s="233">
        <v>13</v>
      </c>
      <c r="B22" s="173" t="s">
        <v>659</v>
      </c>
      <c r="C22" s="995">
        <v>2902</v>
      </c>
      <c r="D22" s="995">
        <v>2910</v>
      </c>
      <c r="E22" s="993">
        <v>1601</v>
      </c>
      <c r="F22" s="993">
        <v>1746</v>
      </c>
      <c r="G22" s="993">
        <v>1892</v>
      </c>
      <c r="H22" s="993">
        <v>2037</v>
      </c>
      <c r="I22" s="993">
        <v>2183</v>
      </c>
      <c r="J22" s="993">
        <v>2328</v>
      </c>
      <c r="K22" s="992">
        <v>2619</v>
      </c>
      <c r="L22" s="992">
        <v>2698</v>
      </c>
      <c r="M22" s="996">
        <v>2582</v>
      </c>
    </row>
    <row r="23" spans="1:13" s="659" customFormat="1" ht="16.5" x14ac:dyDescent="0.3">
      <c r="A23" s="1414" t="s">
        <v>660</v>
      </c>
      <c r="B23" s="1414"/>
      <c r="C23" s="994">
        <f>SUM(C10:C22)</f>
        <v>45408</v>
      </c>
      <c r="D23" s="994">
        <f t="shared" ref="D23:M23" si="0">SUM(D10:D22)</f>
        <v>45351</v>
      </c>
      <c r="E23" s="994">
        <f t="shared" si="0"/>
        <v>24947</v>
      </c>
      <c r="F23" s="994">
        <f t="shared" si="0"/>
        <v>27212</v>
      </c>
      <c r="G23" s="994">
        <f t="shared" si="0"/>
        <v>29481</v>
      </c>
      <c r="H23" s="994">
        <f t="shared" si="0"/>
        <v>32161</v>
      </c>
      <c r="I23" s="994">
        <f t="shared" si="0"/>
        <v>34601</v>
      </c>
      <c r="J23" s="994">
        <f t="shared" si="0"/>
        <v>36724</v>
      </c>
      <c r="K23" s="994">
        <f t="shared" si="0"/>
        <v>41021</v>
      </c>
      <c r="L23" s="994">
        <f t="shared" si="0"/>
        <v>42055</v>
      </c>
      <c r="M23" s="994">
        <f t="shared" si="0"/>
        <v>40020</v>
      </c>
    </row>
    <row r="24" spans="1:13" x14ac:dyDescent="0.25">
      <c r="E24" s="999"/>
      <c r="F24" s="999"/>
      <c r="G24" s="999"/>
      <c r="H24" s="999"/>
      <c r="I24" s="999"/>
      <c r="J24" s="999"/>
      <c r="K24" s="999"/>
      <c r="L24" s="999"/>
      <c r="M24" s="999"/>
    </row>
    <row r="26" spans="1:13" s="227" customFormat="1" ht="60" customHeight="1" x14ac:dyDescent="0.2">
      <c r="A26" s="1332" t="s">
        <v>676</v>
      </c>
      <c r="B26" s="1332"/>
      <c r="C26" s="234"/>
      <c r="D26" s="235"/>
      <c r="E26" s="235"/>
      <c r="G26" s="1415" t="s">
        <v>646</v>
      </c>
      <c r="H26" s="1415"/>
      <c r="I26" s="1415"/>
      <c r="J26" s="1415"/>
    </row>
  </sheetData>
  <mergeCells count="13">
    <mergeCell ref="G26:J26"/>
    <mergeCell ref="L1:M1"/>
    <mergeCell ref="E1:F1"/>
    <mergeCell ref="A3:J3"/>
    <mergeCell ref="A4:J4"/>
    <mergeCell ref="K6:M6"/>
    <mergeCell ref="A7:A8"/>
    <mergeCell ref="B7:B8"/>
    <mergeCell ref="C7:C8"/>
    <mergeCell ref="D7:D8"/>
    <mergeCell ref="A23:B23"/>
    <mergeCell ref="A26:B26"/>
    <mergeCell ref="E7:M7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5" tint="0.59999389629810485"/>
  </sheetPr>
  <dimension ref="A1:M26"/>
  <sheetViews>
    <sheetView view="pageBreakPreview" zoomScale="80" zoomScaleSheetLayoutView="80" workbookViewId="0"/>
  </sheetViews>
  <sheetFormatPr defaultColWidth="9.140625" defaultRowHeight="13.5" x14ac:dyDescent="0.25"/>
  <cols>
    <col min="1" max="1" width="9.140625" style="442"/>
    <col min="2" max="2" width="16.85546875" style="442" customWidth="1"/>
    <col min="3" max="3" width="9.140625" style="442"/>
    <col min="4" max="4" width="8.42578125" style="442" customWidth="1"/>
    <col min="5" max="5" width="12.85546875" style="442" customWidth="1"/>
    <col min="6" max="6" width="16" style="442" customWidth="1"/>
    <col min="7" max="8" width="15.28515625" style="442" customWidth="1"/>
    <col min="9" max="9" width="18" style="442" customWidth="1"/>
    <col min="10" max="10" width="8.85546875" style="442" customWidth="1"/>
    <col min="11" max="11" width="10.5703125" style="442" customWidth="1"/>
    <col min="12" max="13" width="9.5703125" style="442" customWidth="1"/>
    <col min="14" max="16384" width="9.140625" style="442"/>
  </cols>
  <sheetData>
    <row r="1" spans="1:13" ht="16.5" x14ac:dyDescent="0.3">
      <c r="C1" s="1406" t="s">
        <v>0</v>
      </c>
      <c r="D1" s="1406"/>
      <c r="E1" s="1406"/>
      <c r="F1" s="1406"/>
      <c r="G1" s="1406"/>
      <c r="H1" s="1406"/>
      <c r="I1" s="1406"/>
      <c r="J1" s="443"/>
      <c r="K1" s="443"/>
      <c r="L1" s="1528" t="s">
        <v>516</v>
      </c>
      <c r="M1" s="1528"/>
    </row>
    <row r="2" spans="1:13" ht="20.25" x14ac:dyDescent="0.3">
      <c r="B2" s="1407" t="s">
        <v>793</v>
      </c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444"/>
    </row>
    <row r="3" spans="1:13" ht="20.25" x14ac:dyDescent="0.3"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3" ht="20.25" customHeight="1" x14ac:dyDescent="0.25">
      <c r="A4" s="1530" t="s">
        <v>515</v>
      </c>
      <c r="B4" s="1530"/>
      <c r="C4" s="1530"/>
      <c r="D4" s="1530"/>
      <c r="E4" s="1530"/>
      <c r="F4" s="1530"/>
      <c r="G4" s="1530"/>
      <c r="H4" s="1530"/>
      <c r="I4" s="1530"/>
      <c r="J4" s="1530"/>
      <c r="K4" s="1530"/>
      <c r="L4" s="1530"/>
      <c r="M4" s="1530"/>
    </row>
    <row r="5" spans="1:13" ht="20.25" customHeight="1" x14ac:dyDescent="0.3">
      <c r="A5" s="1531" t="s">
        <v>661</v>
      </c>
      <c r="B5" s="1531"/>
      <c r="C5" s="1531"/>
      <c r="D5" s="1531"/>
      <c r="E5" s="1531"/>
      <c r="F5" s="1531"/>
      <c r="G5" s="1531"/>
      <c r="H5" s="1529" t="s">
        <v>924</v>
      </c>
      <c r="I5" s="1529"/>
      <c r="J5" s="1529"/>
      <c r="K5" s="1529"/>
      <c r="L5" s="1529"/>
      <c r="M5" s="1529"/>
    </row>
    <row r="6" spans="1:13" ht="15" customHeight="1" x14ac:dyDescent="0.25">
      <c r="A6" s="1411" t="s">
        <v>66</v>
      </c>
      <c r="B6" s="1411" t="s">
        <v>280</v>
      </c>
      <c r="C6" s="1535" t="s">
        <v>405</v>
      </c>
      <c r="D6" s="1536"/>
      <c r="E6" s="1536"/>
      <c r="F6" s="1536"/>
      <c r="G6" s="1537"/>
      <c r="H6" s="1410" t="s">
        <v>402</v>
      </c>
      <c r="I6" s="1410"/>
      <c r="J6" s="1410"/>
      <c r="K6" s="1410"/>
      <c r="L6" s="1410"/>
      <c r="M6" s="1532" t="s">
        <v>281</v>
      </c>
    </row>
    <row r="7" spans="1:13" ht="12.75" customHeight="1" x14ac:dyDescent="0.25">
      <c r="A7" s="1412"/>
      <c r="B7" s="1412"/>
      <c r="C7" s="1538"/>
      <c r="D7" s="1539"/>
      <c r="E7" s="1539"/>
      <c r="F7" s="1539"/>
      <c r="G7" s="1540"/>
      <c r="H7" s="1410"/>
      <c r="I7" s="1410"/>
      <c r="J7" s="1410"/>
      <c r="K7" s="1410"/>
      <c r="L7" s="1410"/>
      <c r="M7" s="1533"/>
    </row>
    <row r="8" spans="1:13" ht="5.25" customHeight="1" x14ac:dyDescent="0.25">
      <c r="A8" s="1412"/>
      <c r="B8" s="1412"/>
      <c r="C8" s="1538"/>
      <c r="D8" s="1539"/>
      <c r="E8" s="1539"/>
      <c r="F8" s="1539"/>
      <c r="G8" s="1540"/>
      <c r="H8" s="1410"/>
      <c r="I8" s="1410"/>
      <c r="J8" s="1410"/>
      <c r="K8" s="1410"/>
      <c r="L8" s="1410"/>
      <c r="M8" s="1533"/>
    </row>
    <row r="9" spans="1:13" ht="59.25" customHeight="1" x14ac:dyDescent="0.25">
      <c r="A9" s="1413"/>
      <c r="B9" s="1413"/>
      <c r="C9" s="506" t="s">
        <v>282</v>
      </c>
      <c r="D9" s="506" t="s">
        <v>283</v>
      </c>
      <c r="E9" s="506" t="s">
        <v>284</v>
      </c>
      <c r="F9" s="506" t="s">
        <v>285</v>
      </c>
      <c r="G9" s="507" t="s">
        <v>286</v>
      </c>
      <c r="H9" s="508" t="s">
        <v>401</v>
      </c>
      <c r="I9" s="508" t="s">
        <v>406</v>
      </c>
      <c r="J9" s="508" t="s">
        <v>403</v>
      </c>
      <c r="K9" s="508" t="s">
        <v>404</v>
      </c>
      <c r="L9" s="508" t="s">
        <v>39</v>
      </c>
      <c r="M9" s="1534"/>
    </row>
    <row r="10" spans="1:13" ht="15" x14ac:dyDescent="0.25">
      <c r="A10" s="449">
        <v>1</v>
      </c>
      <c r="B10" s="449">
        <v>2</v>
      </c>
      <c r="C10" s="449">
        <v>3</v>
      </c>
      <c r="D10" s="449">
        <v>4</v>
      </c>
      <c r="E10" s="449">
        <v>5</v>
      </c>
      <c r="F10" s="449">
        <v>6</v>
      </c>
      <c r="G10" s="449">
        <v>7</v>
      </c>
      <c r="H10" s="449">
        <v>8</v>
      </c>
      <c r="I10" s="449">
        <v>9</v>
      </c>
      <c r="J10" s="449">
        <v>10</v>
      </c>
      <c r="K10" s="449">
        <v>11</v>
      </c>
      <c r="L10" s="449">
        <v>12</v>
      </c>
      <c r="M10" s="449">
        <v>13</v>
      </c>
    </row>
    <row r="11" spans="1:13" s="227" customFormat="1" ht="24" customHeight="1" x14ac:dyDescent="0.2">
      <c r="A11" s="233">
        <v>1</v>
      </c>
      <c r="B11" s="173" t="s">
        <v>647</v>
      </c>
      <c r="C11" s="1541" t="s">
        <v>671</v>
      </c>
      <c r="D11" s="1541"/>
      <c r="E11" s="1541"/>
      <c r="F11" s="1541"/>
      <c r="G11" s="1541"/>
      <c r="H11" s="1541"/>
      <c r="I11" s="1541"/>
      <c r="J11" s="1541"/>
      <c r="K11" s="1541"/>
      <c r="L11" s="1541"/>
      <c r="M11" s="1541"/>
    </row>
    <row r="12" spans="1:13" s="227" customFormat="1" ht="24" customHeight="1" x14ac:dyDescent="0.2">
      <c r="A12" s="233">
        <v>2</v>
      </c>
      <c r="B12" s="173" t="s">
        <v>648</v>
      </c>
      <c r="C12" s="1541"/>
      <c r="D12" s="1541"/>
      <c r="E12" s="1541"/>
      <c r="F12" s="1541"/>
      <c r="G12" s="1541"/>
      <c r="H12" s="1541"/>
      <c r="I12" s="1541"/>
      <c r="J12" s="1541"/>
      <c r="K12" s="1541"/>
      <c r="L12" s="1541"/>
      <c r="M12" s="1541"/>
    </row>
    <row r="13" spans="1:13" s="227" customFormat="1" ht="24" customHeight="1" x14ac:dyDescent="0.2">
      <c r="A13" s="233">
        <v>3</v>
      </c>
      <c r="B13" s="173" t="s">
        <v>649</v>
      </c>
      <c r="C13" s="1541"/>
      <c r="D13" s="1541"/>
      <c r="E13" s="1541"/>
      <c r="F13" s="1541"/>
      <c r="G13" s="1541"/>
      <c r="H13" s="1541"/>
      <c r="I13" s="1541"/>
      <c r="J13" s="1541"/>
      <c r="K13" s="1541"/>
      <c r="L13" s="1541"/>
      <c r="M13" s="1541"/>
    </row>
    <row r="14" spans="1:13" s="227" customFormat="1" ht="24" customHeight="1" x14ac:dyDescent="0.2">
      <c r="A14" s="233">
        <v>4</v>
      </c>
      <c r="B14" s="173" t="s">
        <v>650</v>
      </c>
      <c r="C14" s="1541"/>
      <c r="D14" s="1541"/>
      <c r="E14" s="1541"/>
      <c r="F14" s="1541"/>
      <c r="G14" s="1541"/>
      <c r="H14" s="1541"/>
      <c r="I14" s="1541"/>
      <c r="J14" s="1541"/>
      <c r="K14" s="1541"/>
      <c r="L14" s="1541"/>
      <c r="M14" s="1541"/>
    </row>
    <row r="15" spans="1:13" s="227" customFormat="1" ht="24" customHeight="1" x14ac:dyDescent="0.2">
      <c r="A15" s="233">
        <v>5</v>
      </c>
      <c r="B15" s="173" t="s">
        <v>651</v>
      </c>
      <c r="C15" s="1541"/>
      <c r="D15" s="1541"/>
      <c r="E15" s="1541"/>
      <c r="F15" s="1541"/>
      <c r="G15" s="1541"/>
      <c r="H15" s="1541"/>
      <c r="I15" s="1541"/>
      <c r="J15" s="1541"/>
      <c r="K15" s="1541"/>
      <c r="L15" s="1541"/>
      <c r="M15" s="1541"/>
    </row>
    <row r="16" spans="1:13" s="227" customFormat="1" ht="24" customHeight="1" x14ac:dyDescent="0.2">
      <c r="A16" s="233">
        <v>6</v>
      </c>
      <c r="B16" s="173" t="s">
        <v>652</v>
      </c>
      <c r="C16" s="1541"/>
      <c r="D16" s="1541"/>
      <c r="E16" s="1541"/>
      <c r="F16" s="1541"/>
      <c r="G16" s="1541"/>
      <c r="H16" s="1541"/>
      <c r="I16" s="1541"/>
      <c r="J16" s="1541"/>
      <c r="K16" s="1541"/>
      <c r="L16" s="1541"/>
      <c r="M16" s="1541"/>
    </row>
    <row r="17" spans="1:13" s="227" customFormat="1" ht="24" customHeight="1" x14ac:dyDescent="0.2">
      <c r="A17" s="233">
        <v>7</v>
      </c>
      <c r="B17" s="173" t="s">
        <v>653</v>
      </c>
      <c r="C17" s="1541"/>
      <c r="D17" s="1541"/>
      <c r="E17" s="1541"/>
      <c r="F17" s="1541"/>
      <c r="G17" s="1541"/>
      <c r="H17" s="1541"/>
      <c r="I17" s="1541"/>
      <c r="J17" s="1541"/>
      <c r="K17" s="1541"/>
      <c r="L17" s="1541"/>
      <c r="M17" s="1541"/>
    </row>
    <row r="18" spans="1:13" s="227" customFormat="1" ht="24" customHeight="1" x14ac:dyDescent="0.2">
      <c r="A18" s="233">
        <v>8</v>
      </c>
      <c r="B18" s="173" t="s">
        <v>654</v>
      </c>
      <c r="C18" s="1541"/>
      <c r="D18" s="1541"/>
      <c r="E18" s="1541"/>
      <c r="F18" s="1541"/>
      <c r="G18" s="1541"/>
      <c r="H18" s="1541"/>
      <c r="I18" s="1541"/>
      <c r="J18" s="1541"/>
      <c r="K18" s="1541"/>
      <c r="L18" s="1541"/>
      <c r="M18" s="1541"/>
    </row>
    <row r="19" spans="1:13" s="227" customFormat="1" ht="24" customHeight="1" x14ac:dyDescent="0.2">
      <c r="A19" s="233">
        <v>9</v>
      </c>
      <c r="B19" s="173" t="s">
        <v>655</v>
      </c>
      <c r="C19" s="1541"/>
      <c r="D19" s="1541"/>
      <c r="E19" s="1541"/>
      <c r="F19" s="1541"/>
      <c r="G19" s="1541"/>
      <c r="H19" s="1541"/>
      <c r="I19" s="1541"/>
      <c r="J19" s="1541"/>
      <c r="K19" s="1541"/>
      <c r="L19" s="1541"/>
      <c r="M19" s="1541"/>
    </row>
    <row r="20" spans="1:13" s="227" customFormat="1" ht="24" customHeight="1" x14ac:dyDescent="0.2">
      <c r="A20" s="233">
        <v>10</v>
      </c>
      <c r="B20" s="173" t="s">
        <v>656</v>
      </c>
      <c r="C20" s="1541"/>
      <c r="D20" s="1541"/>
      <c r="E20" s="1541"/>
      <c r="F20" s="1541"/>
      <c r="G20" s="1541"/>
      <c r="H20" s="1541"/>
      <c r="I20" s="1541"/>
      <c r="J20" s="1541"/>
      <c r="K20" s="1541"/>
      <c r="L20" s="1541"/>
      <c r="M20" s="1541"/>
    </row>
    <row r="21" spans="1:13" s="227" customFormat="1" ht="24" customHeight="1" x14ac:dyDescent="0.2">
      <c r="A21" s="233">
        <v>11</v>
      </c>
      <c r="B21" s="173" t="s">
        <v>657</v>
      </c>
      <c r="C21" s="1541"/>
      <c r="D21" s="1541"/>
      <c r="E21" s="1541"/>
      <c r="F21" s="1541"/>
      <c r="G21" s="1541"/>
      <c r="H21" s="1541"/>
      <c r="I21" s="1541"/>
      <c r="J21" s="1541"/>
      <c r="K21" s="1541"/>
      <c r="L21" s="1541"/>
      <c r="M21" s="1541"/>
    </row>
    <row r="22" spans="1:13" s="227" customFormat="1" ht="24" customHeight="1" x14ac:dyDescent="0.2">
      <c r="A22" s="233">
        <v>12</v>
      </c>
      <c r="B22" s="173" t="s">
        <v>658</v>
      </c>
      <c r="C22" s="1541"/>
      <c r="D22" s="1541"/>
      <c r="E22" s="1541"/>
      <c r="F22" s="1541"/>
      <c r="G22" s="1541"/>
      <c r="H22" s="1541"/>
      <c r="I22" s="1541"/>
      <c r="J22" s="1541"/>
      <c r="K22" s="1541"/>
      <c r="L22" s="1541"/>
      <c r="M22" s="1541"/>
    </row>
    <row r="23" spans="1:13" s="227" customFormat="1" ht="24" customHeight="1" x14ac:dyDescent="0.2">
      <c r="A23" s="233">
        <v>13</v>
      </c>
      <c r="B23" s="173" t="s">
        <v>659</v>
      </c>
      <c r="C23" s="1541"/>
      <c r="D23" s="1541"/>
      <c r="E23" s="1541"/>
      <c r="F23" s="1541"/>
      <c r="G23" s="1541"/>
      <c r="H23" s="1541"/>
      <c r="I23" s="1541"/>
      <c r="J23" s="1541"/>
      <c r="K23" s="1541"/>
      <c r="L23" s="1541"/>
      <c r="M23" s="1541"/>
    </row>
    <row r="24" spans="1:13" s="228" customFormat="1" ht="27" customHeight="1" x14ac:dyDescent="0.2">
      <c r="A24" s="1414" t="s">
        <v>660</v>
      </c>
      <c r="B24" s="1414"/>
      <c r="C24" s="584">
        <v>0</v>
      </c>
      <c r="D24" s="584">
        <v>0</v>
      </c>
      <c r="E24" s="584">
        <v>0</v>
      </c>
      <c r="F24" s="584">
        <v>0</v>
      </c>
      <c r="G24" s="584">
        <v>0</v>
      </c>
      <c r="H24" s="584">
        <v>0</v>
      </c>
      <c r="I24" s="584">
        <v>0</v>
      </c>
      <c r="J24" s="584">
        <v>0</v>
      </c>
      <c r="K24" s="584">
        <v>0</v>
      </c>
      <c r="L24" s="584">
        <v>0</v>
      </c>
      <c r="M24" s="584">
        <v>0</v>
      </c>
    </row>
    <row r="25" spans="1:13" s="227" customFormat="1" ht="15.75" customHeight="1" x14ac:dyDescent="0.2">
      <c r="A25" s="228"/>
      <c r="B25" s="228"/>
      <c r="C25" s="228"/>
      <c r="D25" s="228"/>
      <c r="E25" s="228"/>
      <c r="F25" s="228"/>
      <c r="G25" s="228"/>
      <c r="H25" s="228"/>
    </row>
    <row r="26" spans="1:13" s="227" customFormat="1" ht="60" customHeight="1" x14ac:dyDescent="0.2">
      <c r="A26" s="1332" t="s">
        <v>676</v>
      </c>
      <c r="B26" s="1332"/>
      <c r="C26" s="234"/>
      <c r="D26" s="235"/>
      <c r="E26" s="235"/>
      <c r="J26" s="1415" t="s">
        <v>646</v>
      </c>
      <c r="K26" s="1415"/>
      <c r="L26" s="1415"/>
      <c r="M26" s="1415"/>
    </row>
  </sheetData>
  <mergeCells count="15">
    <mergeCell ref="C11:M23"/>
    <mergeCell ref="A24:B24"/>
    <mergeCell ref="A26:B26"/>
    <mergeCell ref="J26:M26"/>
    <mergeCell ref="B2:L2"/>
    <mergeCell ref="L1:M1"/>
    <mergeCell ref="C1:I1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55118110236220474" right="0.11811023622047245" top="0.19685039370078741" bottom="7.874015748031496E-2" header="7.874015748031496E-2" footer="7.874015748031496E-2"/>
  <pageSetup paperSize="9" scale="8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5" tint="0.59999389629810485"/>
    <pageSetUpPr fitToPage="1"/>
  </sheetPr>
  <dimension ref="A1:F41"/>
  <sheetViews>
    <sheetView view="pageBreakPreview" zoomScale="80" zoomScaleSheetLayoutView="80" workbookViewId="0">
      <selection sqref="A1:E1"/>
    </sheetView>
  </sheetViews>
  <sheetFormatPr defaultColWidth="9.140625" defaultRowHeight="13.5" x14ac:dyDescent="0.25"/>
  <cols>
    <col min="1" max="1" width="36" style="442" customWidth="1"/>
    <col min="2" max="2" width="17.5703125" style="442" customWidth="1"/>
    <col min="3" max="3" width="24.5703125" style="442" customWidth="1"/>
    <col min="4" max="4" width="22.5703125" style="442" customWidth="1"/>
    <col min="5" max="5" width="36.42578125" style="442" customWidth="1"/>
    <col min="6" max="6" width="59.5703125" style="442" customWidth="1"/>
    <col min="7" max="16384" width="9.140625" style="442"/>
  </cols>
  <sheetData>
    <row r="1" spans="1:6" ht="16.5" x14ac:dyDescent="0.3">
      <c r="A1" s="1406" t="s">
        <v>745</v>
      </c>
      <c r="B1" s="1406"/>
      <c r="C1" s="1406"/>
      <c r="D1" s="1406"/>
      <c r="E1" s="1406"/>
      <c r="F1" s="617" t="s">
        <v>518</v>
      </c>
    </row>
    <row r="2" spans="1:6" ht="20.25" x14ac:dyDescent="0.3">
      <c r="A2" s="1407" t="s">
        <v>793</v>
      </c>
      <c r="B2" s="1407"/>
      <c r="C2" s="1407"/>
      <c r="D2" s="1407"/>
      <c r="E2" s="1407"/>
      <c r="F2" s="1407"/>
    </row>
    <row r="3" spans="1:6" x14ac:dyDescent="0.25">
      <c r="A3" s="571"/>
      <c r="B3" s="571"/>
      <c r="C3" s="571"/>
      <c r="D3" s="571"/>
      <c r="E3" s="571"/>
      <c r="F3" s="571"/>
    </row>
    <row r="4" spans="1:6" ht="18.75" x14ac:dyDescent="0.25">
      <c r="A4" s="1542" t="s">
        <v>517</v>
      </c>
      <c r="B4" s="1542"/>
      <c r="C4" s="1542"/>
      <c r="D4" s="1542"/>
      <c r="E4" s="1542"/>
      <c r="F4" s="1542"/>
    </row>
    <row r="5" spans="1:6" ht="18.75" x14ac:dyDescent="0.3">
      <c r="A5" s="618" t="s">
        <v>92</v>
      </c>
      <c r="B5" s="619"/>
      <c r="C5" s="619"/>
      <c r="D5" s="619"/>
      <c r="E5" s="619"/>
      <c r="F5" s="619"/>
    </row>
    <row r="6" spans="1:6" ht="42.75" customHeight="1" x14ac:dyDescent="0.25">
      <c r="A6" s="1544" t="s">
        <v>748</v>
      </c>
      <c r="B6" s="1545"/>
      <c r="C6" s="772" t="s">
        <v>310</v>
      </c>
      <c r="D6" s="772" t="s">
        <v>311</v>
      </c>
      <c r="E6" s="772" t="s">
        <v>312</v>
      </c>
      <c r="F6" s="620"/>
    </row>
    <row r="7" spans="1:6" ht="15" customHeight="1" x14ac:dyDescent="0.25">
      <c r="A7" s="1546" t="s">
        <v>313</v>
      </c>
      <c r="B7" s="1547"/>
      <c r="C7" s="631" t="s">
        <v>962</v>
      </c>
      <c r="D7" s="631" t="s">
        <v>962</v>
      </c>
      <c r="E7" s="631" t="s">
        <v>962</v>
      </c>
      <c r="F7" s="620"/>
    </row>
    <row r="8" spans="1:6" ht="15" customHeight="1" x14ac:dyDescent="0.25">
      <c r="A8" s="1546" t="s">
        <v>314</v>
      </c>
      <c r="B8" s="1547"/>
      <c r="C8" s="631" t="s">
        <v>897</v>
      </c>
      <c r="D8" s="631" t="s">
        <v>897</v>
      </c>
      <c r="E8" s="631" t="s">
        <v>897</v>
      </c>
      <c r="F8" s="620"/>
    </row>
    <row r="9" spans="1:6" ht="15" customHeight="1" x14ac:dyDescent="0.25">
      <c r="A9" s="1546" t="s">
        <v>315</v>
      </c>
      <c r="B9" s="1547"/>
      <c r="C9" s="624" t="s">
        <v>963</v>
      </c>
      <c r="D9" s="624" t="s">
        <v>963</v>
      </c>
      <c r="E9" s="624" t="s">
        <v>963</v>
      </c>
      <c r="F9" s="620"/>
    </row>
    <row r="10" spans="1:6" ht="15" customHeight="1" x14ac:dyDescent="0.25">
      <c r="A10" s="1546" t="s">
        <v>728</v>
      </c>
      <c r="B10" s="1547"/>
      <c r="C10" s="624"/>
      <c r="D10" s="987" t="s">
        <v>896</v>
      </c>
      <c r="E10" s="624"/>
      <c r="F10" s="620"/>
    </row>
    <row r="11" spans="1:6" ht="15" customHeight="1" x14ac:dyDescent="0.25">
      <c r="A11" s="1546" t="s">
        <v>729</v>
      </c>
      <c r="B11" s="1547"/>
      <c r="C11" s="631" t="s">
        <v>964</v>
      </c>
      <c r="D11" s="624"/>
      <c r="E11" s="624"/>
      <c r="F11" s="620"/>
    </row>
    <row r="12" spans="1:6" ht="15" customHeight="1" x14ac:dyDescent="0.25">
      <c r="A12" s="1546" t="s">
        <v>730</v>
      </c>
      <c r="B12" s="1547"/>
      <c r="C12" s="631" t="s">
        <v>964</v>
      </c>
      <c r="D12" s="631">
        <v>1100</v>
      </c>
      <c r="E12" s="624"/>
      <c r="F12" s="620"/>
    </row>
    <row r="13" spans="1:6" ht="15" customHeight="1" x14ac:dyDescent="0.25">
      <c r="A13" s="1546" t="s">
        <v>731</v>
      </c>
      <c r="B13" s="1547"/>
      <c r="C13" s="988" t="s">
        <v>965</v>
      </c>
      <c r="D13" s="624"/>
      <c r="E13" s="624"/>
      <c r="F13" s="620"/>
    </row>
    <row r="14" spans="1:6" ht="15" customHeight="1" x14ac:dyDescent="0.25">
      <c r="A14" s="1546" t="s">
        <v>732</v>
      </c>
      <c r="B14" s="1547"/>
      <c r="C14" s="624"/>
      <c r="D14" s="843" t="s">
        <v>897</v>
      </c>
      <c r="E14" s="624"/>
      <c r="F14" s="620"/>
    </row>
    <row r="15" spans="1:6" ht="15" customHeight="1" x14ac:dyDescent="0.25">
      <c r="A15" s="1546" t="s">
        <v>733</v>
      </c>
      <c r="B15" s="1547"/>
      <c r="C15" s="631" t="s">
        <v>7</v>
      </c>
      <c r="D15" s="631" t="s">
        <v>7</v>
      </c>
      <c r="E15" s="631" t="s">
        <v>7</v>
      </c>
      <c r="F15" s="620"/>
    </row>
    <row r="16" spans="1:6" ht="15" customHeight="1" x14ac:dyDescent="0.25">
      <c r="A16" s="1546" t="s">
        <v>734</v>
      </c>
      <c r="B16" s="1547"/>
      <c r="C16" s="631" t="s">
        <v>897</v>
      </c>
      <c r="D16" s="631" t="s">
        <v>897</v>
      </c>
      <c r="E16" s="631" t="s">
        <v>897</v>
      </c>
      <c r="F16" s="620"/>
    </row>
    <row r="17" spans="1:6" ht="15" customHeight="1" x14ac:dyDescent="0.25">
      <c r="A17" s="1546" t="s">
        <v>735</v>
      </c>
      <c r="B17" s="1547"/>
      <c r="C17" s="631" t="s">
        <v>966</v>
      </c>
      <c r="D17" s="631" t="s">
        <v>966</v>
      </c>
      <c r="E17" s="631" t="s">
        <v>966</v>
      </c>
      <c r="F17" s="620"/>
    </row>
    <row r="18" spans="1:6" ht="13.5" customHeight="1" x14ac:dyDescent="0.25">
      <c r="A18" s="622"/>
      <c r="B18" s="623"/>
      <c r="C18" s="623"/>
      <c r="D18" s="623"/>
      <c r="E18" s="620"/>
      <c r="F18" s="620"/>
    </row>
    <row r="19" spans="1:6" ht="13.5" customHeight="1" x14ac:dyDescent="0.25">
      <c r="A19" s="1543" t="s">
        <v>316</v>
      </c>
      <c r="B19" s="1543"/>
      <c r="C19" s="1543"/>
      <c r="D19" s="1543"/>
      <c r="E19" s="1543"/>
      <c r="F19" s="1543"/>
    </row>
    <row r="20" spans="1:6" ht="15" x14ac:dyDescent="0.25">
      <c r="A20" s="620"/>
      <c r="B20" s="620"/>
      <c r="C20" s="620"/>
      <c r="D20" s="620"/>
      <c r="E20" s="1529" t="s">
        <v>924</v>
      </c>
      <c r="F20" s="1529"/>
    </row>
    <row r="21" spans="1:6" ht="46.15" customHeight="1" x14ac:dyDescent="0.25">
      <c r="A21" s="570" t="s">
        <v>408</v>
      </c>
      <c r="B21" s="570" t="s">
        <v>3</v>
      </c>
      <c r="C21" s="506" t="s">
        <v>317</v>
      </c>
      <c r="D21" s="633" t="s">
        <v>318</v>
      </c>
      <c r="E21" s="570" t="s">
        <v>319</v>
      </c>
      <c r="F21" s="570" t="s">
        <v>320</v>
      </c>
    </row>
    <row r="22" spans="1:6" ht="23.25" customHeight="1" x14ac:dyDescent="0.25">
      <c r="A22" s="621" t="s">
        <v>321</v>
      </c>
      <c r="B22" s="624" t="s">
        <v>654</v>
      </c>
      <c r="C22" s="624">
        <v>15</v>
      </c>
      <c r="D22" s="625">
        <v>42917</v>
      </c>
      <c r="E22" s="626" t="s">
        <v>989</v>
      </c>
      <c r="F22" s="1018" t="s">
        <v>990</v>
      </c>
    </row>
    <row r="23" spans="1:6" ht="15" x14ac:dyDescent="0.25">
      <c r="A23" s="621" t="s">
        <v>322</v>
      </c>
      <c r="B23" s="624"/>
      <c r="C23" s="624"/>
      <c r="D23" s="627"/>
      <c r="E23" s="628"/>
      <c r="F23" s="626"/>
    </row>
    <row r="24" spans="1:6" ht="15" x14ac:dyDescent="0.25">
      <c r="A24" s="621" t="s">
        <v>323</v>
      </c>
      <c r="B24" s="624"/>
      <c r="C24" s="630"/>
      <c r="D24" s="627"/>
      <c r="E24" s="628"/>
      <c r="F24" s="628"/>
    </row>
    <row r="25" spans="1:6" ht="30" x14ac:dyDescent="0.25">
      <c r="A25" s="621" t="s">
        <v>324</v>
      </c>
      <c r="B25" s="624"/>
      <c r="C25" s="630"/>
      <c r="D25" s="627"/>
      <c r="E25" s="628"/>
      <c r="F25" s="626"/>
    </row>
    <row r="26" spans="1:6" ht="30" x14ac:dyDescent="0.25">
      <c r="A26" s="621" t="s">
        <v>325</v>
      </c>
      <c r="B26" s="624" t="s">
        <v>652</v>
      </c>
      <c r="C26" s="630">
        <v>18</v>
      </c>
      <c r="D26" s="625" t="s">
        <v>987</v>
      </c>
      <c r="E26" s="629" t="s">
        <v>988</v>
      </c>
      <c r="F26" s="629"/>
    </row>
    <row r="27" spans="1:6" ht="15" x14ac:dyDescent="0.25">
      <c r="A27" s="621" t="s">
        <v>326</v>
      </c>
      <c r="B27" s="624" t="s">
        <v>7</v>
      </c>
      <c r="C27" s="630" t="s">
        <v>7</v>
      </c>
      <c r="D27" s="627" t="s">
        <v>7</v>
      </c>
      <c r="E27" s="628" t="s">
        <v>7</v>
      </c>
      <c r="F27" s="628" t="s">
        <v>7</v>
      </c>
    </row>
    <row r="28" spans="1:6" ht="15" x14ac:dyDescent="0.25">
      <c r="A28" s="621" t="s">
        <v>327</v>
      </c>
      <c r="B28" s="624"/>
      <c r="C28" s="630"/>
      <c r="D28" s="627"/>
      <c r="E28" s="629"/>
      <c r="F28" s="629"/>
    </row>
    <row r="29" spans="1:6" ht="36" x14ac:dyDescent="0.25">
      <c r="A29" s="621" t="s">
        <v>328</v>
      </c>
      <c r="B29" s="624" t="s">
        <v>647</v>
      </c>
      <c r="C29" s="624">
        <v>1</v>
      </c>
      <c r="D29" s="1016" t="s">
        <v>984</v>
      </c>
      <c r="E29" s="1017" t="s">
        <v>985</v>
      </c>
      <c r="F29" s="1017" t="s">
        <v>986</v>
      </c>
    </row>
    <row r="30" spans="1:6" ht="15" x14ac:dyDescent="0.25">
      <c r="A30" s="621" t="s">
        <v>329</v>
      </c>
      <c r="B30" s="624"/>
      <c r="C30" s="624"/>
      <c r="D30" s="627"/>
      <c r="E30" s="628"/>
      <c r="F30" s="628"/>
    </row>
    <row r="31" spans="1:6" ht="15" x14ac:dyDescent="0.25">
      <c r="A31" s="621" t="s">
        <v>330</v>
      </c>
      <c r="B31" s="624"/>
      <c r="C31" s="624"/>
      <c r="D31" s="627"/>
      <c r="E31" s="628"/>
      <c r="F31" s="628"/>
    </row>
    <row r="32" spans="1:6" ht="15" x14ac:dyDescent="0.25">
      <c r="A32" s="621" t="s">
        <v>331</v>
      </c>
      <c r="B32" s="624"/>
      <c r="C32" s="624"/>
      <c r="D32" s="627"/>
      <c r="E32" s="628"/>
      <c r="F32" s="628"/>
    </row>
    <row r="33" spans="1:6" ht="15" x14ac:dyDescent="0.25">
      <c r="A33" s="621" t="s">
        <v>332</v>
      </c>
      <c r="B33" s="624" t="s">
        <v>7</v>
      </c>
      <c r="C33" s="624" t="s">
        <v>7</v>
      </c>
      <c r="D33" s="627" t="s">
        <v>7</v>
      </c>
      <c r="E33" s="628" t="s">
        <v>7</v>
      </c>
      <c r="F33" s="628" t="s">
        <v>7</v>
      </c>
    </row>
    <row r="34" spans="1:6" ht="30" x14ac:dyDescent="0.25">
      <c r="A34" s="621" t="s">
        <v>333</v>
      </c>
      <c r="B34" s="624"/>
      <c r="C34" s="624"/>
      <c r="D34" s="627"/>
      <c r="E34" s="628"/>
      <c r="F34" s="628"/>
    </row>
    <row r="35" spans="1:6" ht="15" x14ac:dyDescent="0.25">
      <c r="A35" s="621" t="s">
        <v>334</v>
      </c>
      <c r="B35" s="624"/>
      <c r="C35" s="624"/>
      <c r="D35" s="627"/>
      <c r="E35" s="628"/>
      <c r="F35" s="628"/>
    </row>
    <row r="36" spans="1:6" ht="15" x14ac:dyDescent="0.25">
      <c r="A36" s="621" t="s">
        <v>335</v>
      </c>
      <c r="B36" s="624"/>
      <c r="C36" s="624"/>
      <c r="D36" s="627"/>
      <c r="E36" s="628"/>
      <c r="F36" s="628"/>
    </row>
    <row r="37" spans="1:6" ht="15" x14ac:dyDescent="0.25">
      <c r="A37" s="621" t="s">
        <v>336</v>
      </c>
      <c r="B37" s="624"/>
      <c r="C37" s="624"/>
      <c r="D37" s="627"/>
      <c r="E37" s="628"/>
      <c r="F37" s="628"/>
    </row>
    <row r="38" spans="1:6" ht="36" x14ac:dyDescent="0.25">
      <c r="A38" s="621" t="s">
        <v>39</v>
      </c>
      <c r="B38" s="624" t="s">
        <v>647</v>
      </c>
      <c r="C38" s="624">
        <v>2</v>
      </c>
      <c r="D38" s="625" t="s">
        <v>983</v>
      </c>
      <c r="E38" s="1015" t="s">
        <v>981</v>
      </c>
      <c r="F38" s="1015" t="s">
        <v>982</v>
      </c>
    </row>
    <row r="39" spans="1:6" ht="16.5" x14ac:dyDescent="0.3">
      <c r="A39" s="631" t="s">
        <v>13</v>
      </c>
      <c r="B39" s="624"/>
      <c r="C39" s="624"/>
      <c r="D39" s="627"/>
      <c r="E39" s="632"/>
      <c r="F39" s="632"/>
    </row>
    <row r="41" spans="1:6" ht="71.25" customHeight="1" x14ac:dyDescent="0.25">
      <c r="A41" s="1332" t="s">
        <v>676</v>
      </c>
      <c r="B41" s="1332"/>
      <c r="C41" s="234"/>
      <c r="D41" s="1415" t="s">
        <v>646</v>
      </c>
      <c r="E41" s="1415"/>
      <c r="F41" s="1415"/>
    </row>
  </sheetData>
  <mergeCells count="19">
    <mergeCell ref="A17:B17"/>
    <mergeCell ref="D41:F41"/>
    <mergeCell ref="A41:B41"/>
    <mergeCell ref="A1:E1"/>
    <mergeCell ref="A2:F2"/>
    <mergeCell ref="A4:F4"/>
    <mergeCell ref="A19:F19"/>
    <mergeCell ref="E20:F20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C13" r:id="rId1"/>
  </hyperlinks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5" tint="0.59999389629810485"/>
    <pageSetUpPr fitToPage="1"/>
  </sheetPr>
  <dimension ref="B2:I13"/>
  <sheetViews>
    <sheetView view="pageBreakPreview" zoomScale="90" zoomScaleSheetLayoutView="90" workbookViewId="0">
      <selection activeCell="C32" sqref="C32"/>
    </sheetView>
  </sheetViews>
  <sheetFormatPr defaultRowHeight="12.75" x14ac:dyDescent="0.2"/>
  <sheetData>
    <row r="2" spans="2:9" x14ac:dyDescent="0.2">
      <c r="B2" s="10"/>
    </row>
    <row r="4" spans="2:9" ht="12.75" customHeight="1" x14ac:dyDescent="0.2">
      <c r="B4" s="1548" t="s">
        <v>952</v>
      </c>
      <c r="C4" s="1548"/>
      <c r="D4" s="1548"/>
      <c r="E4" s="1548"/>
      <c r="F4" s="1548"/>
      <c r="G4" s="1548"/>
      <c r="H4" s="1548"/>
      <c r="I4" s="1548"/>
    </row>
    <row r="5" spans="2:9" ht="12.75" customHeight="1" x14ac:dyDescent="0.2">
      <c r="B5" s="1548"/>
      <c r="C5" s="1548"/>
      <c r="D5" s="1548"/>
      <c r="E5" s="1548"/>
      <c r="F5" s="1548"/>
      <c r="G5" s="1548"/>
      <c r="H5" s="1548"/>
      <c r="I5" s="1548"/>
    </row>
    <row r="6" spans="2:9" ht="12.75" customHeight="1" x14ac:dyDescent="0.2">
      <c r="B6" s="1548"/>
      <c r="C6" s="1548"/>
      <c r="D6" s="1548"/>
      <c r="E6" s="1548"/>
      <c r="F6" s="1548"/>
      <c r="G6" s="1548"/>
      <c r="H6" s="1548"/>
      <c r="I6" s="1548"/>
    </row>
    <row r="7" spans="2:9" ht="12.75" customHeight="1" x14ac:dyDescent="0.2">
      <c r="B7" s="1548"/>
      <c r="C7" s="1548"/>
      <c r="D7" s="1548"/>
      <c r="E7" s="1548"/>
      <c r="F7" s="1548"/>
      <c r="G7" s="1548"/>
      <c r="H7" s="1548"/>
      <c r="I7" s="1548"/>
    </row>
    <row r="8" spans="2:9" ht="12.75" customHeight="1" x14ac:dyDescent="0.2">
      <c r="B8" s="1548"/>
      <c r="C8" s="1548"/>
      <c r="D8" s="1548"/>
      <c r="E8" s="1548"/>
      <c r="F8" s="1548"/>
      <c r="G8" s="1548"/>
      <c r="H8" s="1548"/>
      <c r="I8" s="1548"/>
    </row>
    <row r="9" spans="2:9" ht="12.75" customHeight="1" x14ac:dyDescent="0.2">
      <c r="B9" s="1548"/>
      <c r="C9" s="1548"/>
      <c r="D9" s="1548"/>
      <c r="E9" s="1548"/>
      <c r="F9" s="1548"/>
      <c r="G9" s="1548"/>
      <c r="H9" s="1548"/>
      <c r="I9" s="1548"/>
    </row>
    <row r="10" spans="2:9" ht="12.75" customHeight="1" x14ac:dyDescent="0.2">
      <c r="B10" s="1548"/>
      <c r="C10" s="1548"/>
      <c r="D10" s="1548"/>
      <c r="E10" s="1548"/>
      <c r="F10" s="1548"/>
      <c r="G10" s="1548"/>
      <c r="H10" s="1548"/>
      <c r="I10" s="1548"/>
    </row>
    <row r="11" spans="2:9" ht="12.75" customHeight="1" x14ac:dyDescent="0.2">
      <c r="B11" s="1548"/>
      <c r="C11" s="1548"/>
      <c r="D11" s="1548"/>
      <c r="E11" s="1548"/>
      <c r="F11" s="1548"/>
      <c r="G11" s="1548"/>
      <c r="H11" s="1548"/>
      <c r="I11" s="1548"/>
    </row>
    <row r="12" spans="2:9" ht="12.75" customHeight="1" x14ac:dyDescent="0.2">
      <c r="B12" s="1548"/>
      <c r="C12" s="1548"/>
      <c r="D12" s="1548"/>
      <c r="E12" s="1548"/>
      <c r="F12" s="1548"/>
      <c r="G12" s="1548"/>
      <c r="H12" s="1548"/>
      <c r="I12" s="1548"/>
    </row>
    <row r="13" spans="2:9" ht="12.75" customHeight="1" x14ac:dyDescent="0.2">
      <c r="B13" s="1548"/>
      <c r="C13" s="1548"/>
      <c r="D13" s="1548"/>
      <c r="E13" s="1548"/>
      <c r="F13" s="1548"/>
      <c r="G13" s="1548"/>
      <c r="H13" s="1548"/>
      <c r="I13" s="1548"/>
    </row>
  </sheetData>
  <mergeCells count="1">
    <mergeCell ref="B4:I13"/>
  </mergeCells>
  <printOptions horizontalCentered="1" verticalCentered="1"/>
  <pageMargins left="0.70866141732283472" right="0.19685039370078741" top="0.31496062992125984" bottom="0.19685039370078741" header="0.19685039370078741" footer="0.19685039370078741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5" tint="0.59999389629810485"/>
  </sheetPr>
  <dimension ref="A1:T26"/>
  <sheetViews>
    <sheetView view="pageBreakPreview" topLeftCell="A7" zoomScaleSheetLayoutView="100" workbookViewId="0">
      <selection activeCell="C32" sqref="C32"/>
    </sheetView>
  </sheetViews>
  <sheetFormatPr defaultRowHeight="14.25" x14ac:dyDescent="0.2"/>
  <cols>
    <col min="1" max="1" width="4.7109375" style="21" customWidth="1"/>
    <col min="2" max="2" width="16.85546875" style="21" customWidth="1"/>
    <col min="3" max="3" width="11.7109375" style="21" customWidth="1"/>
    <col min="4" max="4" width="11" style="21" customWidth="1"/>
    <col min="5" max="5" width="9.42578125" style="523" customWidth="1"/>
    <col min="6" max="6" width="17.42578125" style="21" customWidth="1"/>
    <col min="7" max="7" width="9.42578125" style="21" customWidth="1"/>
    <col min="8" max="8" width="10.28515625" style="21" customWidth="1"/>
    <col min="9" max="9" width="12.7109375" style="21" customWidth="1"/>
    <col min="10" max="10" width="12.85546875" style="21" customWidth="1"/>
    <col min="11" max="11" width="13.5703125" style="21" customWidth="1"/>
    <col min="12" max="12" width="10.42578125" style="21" customWidth="1"/>
    <col min="13" max="256" width="9.140625" style="21"/>
    <col min="257" max="257" width="4.7109375" style="21" customWidth="1"/>
    <col min="258" max="258" width="16.85546875" style="21" customWidth="1"/>
    <col min="259" max="259" width="11.7109375" style="21" customWidth="1"/>
    <col min="260" max="260" width="11" style="21" customWidth="1"/>
    <col min="261" max="261" width="12.140625" style="21" customWidth="1"/>
    <col min="262" max="262" width="17.42578125" style="21" customWidth="1"/>
    <col min="263" max="263" width="12.42578125" style="21" customWidth="1"/>
    <col min="264" max="264" width="12.85546875" style="21" customWidth="1"/>
    <col min="265" max="265" width="12.7109375" style="21" customWidth="1"/>
    <col min="266" max="266" width="14" style="21" customWidth="1"/>
    <col min="267" max="267" width="13.5703125" style="21" customWidth="1"/>
    <col min="268" max="268" width="11.85546875" style="21" customWidth="1"/>
    <col min="269" max="512" width="9.140625" style="21"/>
    <col min="513" max="513" width="4.7109375" style="21" customWidth="1"/>
    <col min="514" max="514" width="16.85546875" style="21" customWidth="1"/>
    <col min="515" max="515" width="11.7109375" style="21" customWidth="1"/>
    <col min="516" max="516" width="11" style="21" customWidth="1"/>
    <col min="517" max="517" width="12.140625" style="21" customWidth="1"/>
    <col min="518" max="518" width="17.42578125" style="21" customWidth="1"/>
    <col min="519" max="519" width="12.42578125" style="21" customWidth="1"/>
    <col min="520" max="520" width="12.85546875" style="21" customWidth="1"/>
    <col min="521" max="521" width="12.7109375" style="21" customWidth="1"/>
    <col min="522" max="522" width="14" style="21" customWidth="1"/>
    <col min="523" max="523" width="13.5703125" style="21" customWidth="1"/>
    <col min="524" max="524" width="11.85546875" style="21" customWidth="1"/>
    <col min="525" max="768" width="9.140625" style="21"/>
    <col min="769" max="769" width="4.7109375" style="21" customWidth="1"/>
    <col min="770" max="770" width="16.85546875" style="21" customWidth="1"/>
    <col min="771" max="771" width="11.7109375" style="21" customWidth="1"/>
    <col min="772" max="772" width="11" style="21" customWidth="1"/>
    <col min="773" max="773" width="12.140625" style="21" customWidth="1"/>
    <col min="774" max="774" width="17.42578125" style="21" customWidth="1"/>
    <col min="775" max="775" width="12.42578125" style="21" customWidth="1"/>
    <col min="776" max="776" width="12.85546875" style="21" customWidth="1"/>
    <col min="777" max="777" width="12.7109375" style="21" customWidth="1"/>
    <col min="778" max="778" width="14" style="21" customWidth="1"/>
    <col min="779" max="779" width="13.5703125" style="21" customWidth="1"/>
    <col min="780" max="780" width="11.85546875" style="21" customWidth="1"/>
    <col min="781" max="1024" width="9.140625" style="21"/>
    <col min="1025" max="1025" width="4.7109375" style="21" customWidth="1"/>
    <col min="1026" max="1026" width="16.85546875" style="21" customWidth="1"/>
    <col min="1027" max="1027" width="11.7109375" style="21" customWidth="1"/>
    <col min="1028" max="1028" width="11" style="21" customWidth="1"/>
    <col min="1029" max="1029" width="12.140625" style="21" customWidth="1"/>
    <col min="1030" max="1030" width="17.42578125" style="21" customWidth="1"/>
    <col min="1031" max="1031" width="12.42578125" style="21" customWidth="1"/>
    <col min="1032" max="1032" width="12.85546875" style="21" customWidth="1"/>
    <col min="1033" max="1033" width="12.7109375" style="21" customWidth="1"/>
    <col min="1034" max="1034" width="14" style="21" customWidth="1"/>
    <col min="1035" max="1035" width="13.5703125" style="21" customWidth="1"/>
    <col min="1036" max="1036" width="11.85546875" style="21" customWidth="1"/>
    <col min="1037" max="1280" width="9.140625" style="21"/>
    <col min="1281" max="1281" width="4.7109375" style="21" customWidth="1"/>
    <col min="1282" max="1282" width="16.85546875" style="21" customWidth="1"/>
    <col min="1283" max="1283" width="11.7109375" style="21" customWidth="1"/>
    <col min="1284" max="1284" width="11" style="21" customWidth="1"/>
    <col min="1285" max="1285" width="12.140625" style="21" customWidth="1"/>
    <col min="1286" max="1286" width="17.42578125" style="21" customWidth="1"/>
    <col min="1287" max="1287" width="12.42578125" style="21" customWidth="1"/>
    <col min="1288" max="1288" width="12.85546875" style="21" customWidth="1"/>
    <col min="1289" max="1289" width="12.7109375" style="21" customWidth="1"/>
    <col min="1290" max="1290" width="14" style="21" customWidth="1"/>
    <col min="1291" max="1291" width="13.5703125" style="21" customWidth="1"/>
    <col min="1292" max="1292" width="11.85546875" style="21" customWidth="1"/>
    <col min="1293" max="1536" width="9.140625" style="21"/>
    <col min="1537" max="1537" width="4.7109375" style="21" customWidth="1"/>
    <col min="1538" max="1538" width="16.85546875" style="21" customWidth="1"/>
    <col min="1539" max="1539" width="11.7109375" style="21" customWidth="1"/>
    <col min="1540" max="1540" width="11" style="21" customWidth="1"/>
    <col min="1541" max="1541" width="12.140625" style="21" customWidth="1"/>
    <col min="1542" max="1542" width="17.42578125" style="21" customWidth="1"/>
    <col min="1543" max="1543" width="12.42578125" style="21" customWidth="1"/>
    <col min="1544" max="1544" width="12.85546875" style="21" customWidth="1"/>
    <col min="1545" max="1545" width="12.7109375" style="21" customWidth="1"/>
    <col min="1546" max="1546" width="14" style="21" customWidth="1"/>
    <col min="1547" max="1547" width="13.5703125" style="21" customWidth="1"/>
    <col min="1548" max="1548" width="11.85546875" style="21" customWidth="1"/>
    <col min="1549" max="1792" width="9.140625" style="21"/>
    <col min="1793" max="1793" width="4.7109375" style="21" customWidth="1"/>
    <col min="1794" max="1794" width="16.85546875" style="21" customWidth="1"/>
    <col min="1795" max="1795" width="11.7109375" style="21" customWidth="1"/>
    <col min="1796" max="1796" width="11" style="21" customWidth="1"/>
    <col min="1797" max="1797" width="12.140625" style="21" customWidth="1"/>
    <col min="1798" max="1798" width="17.42578125" style="21" customWidth="1"/>
    <col min="1799" max="1799" width="12.42578125" style="21" customWidth="1"/>
    <col min="1800" max="1800" width="12.85546875" style="21" customWidth="1"/>
    <col min="1801" max="1801" width="12.7109375" style="21" customWidth="1"/>
    <col min="1802" max="1802" width="14" style="21" customWidth="1"/>
    <col min="1803" max="1803" width="13.5703125" style="21" customWidth="1"/>
    <col min="1804" max="1804" width="11.85546875" style="21" customWidth="1"/>
    <col min="1805" max="2048" width="9.140625" style="21"/>
    <col min="2049" max="2049" width="4.7109375" style="21" customWidth="1"/>
    <col min="2050" max="2050" width="16.85546875" style="21" customWidth="1"/>
    <col min="2051" max="2051" width="11.7109375" style="21" customWidth="1"/>
    <col min="2052" max="2052" width="11" style="21" customWidth="1"/>
    <col min="2053" max="2053" width="12.140625" style="21" customWidth="1"/>
    <col min="2054" max="2054" width="17.42578125" style="21" customWidth="1"/>
    <col min="2055" max="2055" width="12.42578125" style="21" customWidth="1"/>
    <col min="2056" max="2056" width="12.85546875" style="21" customWidth="1"/>
    <col min="2057" max="2057" width="12.7109375" style="21" customWidth="1"/>
    <col min="2058" max="2058" width="14" style="21" customWidth="1"/>
    <col min="2059" max="2059" width="13.5703125" style="21" customWidth="1"/>
    <col min="2060" max="2060" width="11.85546875" style="21" customWidth="1"/>
    <col min="2061" max="2304" width="9.140625" style="21"/>
    <col min="2305" max="2305" width="4.7109375" style="21" customWidth="1"/>
    <col min="2306" max="2306" width="16.85546875" style="21" customWidth="1"/>
    <col min="2307" max="2307" width="11.7109375" style="21" customWidth="1"/>
    <col min="2308" max="2308" width="11" style="21" customWidth="1"/>
    <col min="2309" max="2309" width="12.140625" style="21" customWidth="1"/>
    <col min="2310" max="2310" width="17.42578125" style="21" customWidth="1"/>
    <col min="2311" max="2311" width="12.42578125" style="21" customWidth="1"/>
    <col min="2312" max="2312" width="12.85546875" style="21" customWidth="1"/>
    <col min="2313" max="2313" width="12.7109375" style="21" customWidth="1"/>
    <col min="2314" max="2314" width="14" style="21" customWidth="1"/>
    <col min="2315" max="2315" width="13.5703125" style="21" customWidth="1"/>
    <col min="2316" max="2316" width="11.85546875" style="21" customWidth="1"/>
    <col min="2317" max="2560" width="9.140625" style="21"/>
    <col min="2561" max="2561" width="4.7109375" style="21" customWidth="1"/>
    <col min="2562" max="2562" width="16.85546875" style="21" customWidth="1"/>
    <col min="2563" max="2563" width="11.7109375" style="21" customWidth="1"/>
    <col min="2564" max="2564" width="11" style="21" customWidth="1"/>
    <col min="2565" max="2565" width="12.140625" style="21" customWidth="1"/>
    <col min="2566" max="2566" width="17.42578125" style="21" customWidth="1"/>
    <col min="2567" max="2567" width="12.42578125" style="21" customWidth="1"/>
    <col min="2568" max="2568" width="12.85546875" style="21" customWidth="1"/>
    <col min="2569" max="2569" width="12.7109375" style="21" customWidth="1"/>
    <col min="2570" max="2570" width="14" style="21" customWidth="1"/>
    <col min="2571" max="2571" width="13.5703125" style="21" customWidth="1"/>
    <col min="2572" max="2572" width="11.85546875" style="21" customWidth="1"/>
    <col min="2573" max="2816" width="9.140625" style="21"/>
    <col min="2817" max="2817" width="4.7109375" style="21" customWidth="1"/>
    <col min="2818" max="2818" width="16.85546875" style="21" customWidth="1"/>
    <col min="2819" max="2819" width="11.7109375" style="21" customWidth="1"/>
    <col min="2820" max="2820" width="11" style="21" customWidth="1"/>
    <col min="2821" max="2821" width="12.140625" style="21" customWidth="1"/>
    <col min="2822" max="2822" width="17.42578125" style="21" customWidth="1"/>
    <col min="2823" max="2823" width="12.42578125" style="21" customWidth="1"/>
    <col min="2824" max="2824" width="12.85546875" style="21" customWidth="1"/>
    <col min="2825" max="2825" width="12.7109375" style="21" customWidth="1"/>
    <col min="2826" max="2826" width="14" style="21" customWidth="1"/>
    <col min="2827" max="2827" width="13.5703125" style="21" customWidth="1"/>
    <col min="2828" max="2828" width="11.85546875" style="21" customWidth="1"/>
    <col min="2829" max="3072" width="9.140625" style="21"/>
    <col min="3073" max="3073" width="4.7109375" style="21" customWidth="1"/>
    <col min="3074" max="3074" width="16.85546875" style="21" customWidth="1"/>
    <col min="3075" max="3075" width="11.7109375" style="21" customWidth="1"/>
    <col min="3076" max="3076" width="11" style="21" customWidth="1"/>
    <col min="3077" max="3077" width="12.140625" style="21" customWidth="1"/>
    <col min="3078" max="3078" width="17.42578125" style="21" customWidth="1"/>
    <col min="3079" max="3079" width="12.42578125" style="21" customWidth="1"/>
    <col min="3080" max="3080" width="12.85546875" style="21" customWidth="1"/>
    <col min="3081" max="3081" width="12.7109375" style="21" customWidth="1"/>
    <col min="3082" max="3082" width="14" style="21" customWidth="1"/>
    <col min="3083" max="3083" width="13.5703125" style="21" customWidth="1"/>
    <col min="3084" max="3084" width="11.85546875" style="21" customWidth="1"/>
    <col min="3085" max="3328" width="9.140625" style="21"/>
    <col min="3329" max="3329" width="4.7109375" style="21" customWidth="1"/>
    <col min="3330" max="3330" width="16.85546875" style="21" customWidth="1"/>
    <col min="3331" max="3331" width="11.7109375" style="21" customWidth="1"/>
    <col min="3332" max="3332" width="11" style="21" customWidth="1"/>
    <col min="3333" max="3333" width="12.140625" style="21" customWidth="1"/>
    <col min="3334" max="3334" width="17.42578125" style="21" customWidth="1"/>
    <col min="3335" max="3335" width="12.42578125" style="21" customWidth="1"/>
    <col min="3336" max="3336" width="12.85546875" style="21" customWidth="1"/>
    <col min="3337" max="3337" width="12.7109375" style="21" customWidth="1"/>
    <col min="3338" max="3338" width="14" style="21" customWidth="1"/>
    <col min="3339" max="3339" width="13.5703125" style="21" customWidth="1"/>
    <col min="3340" max="3340" width="11.85546875" style="21" customWidth="1"/>
    <col min="3341" max="3584" width="9.140625" style="21"/>
    <col min="3585" max="3585" width="4.7109375" style="21" customWidth="1"/>
    <col min="3586" max="3586" width="16.85546875" style="21" customWidth="1"/>
    <col min="3587" max="3587" width="11.7109375" style="21" customWidth="1"/>
    <col min="3588" max="3588" width="11" style="21" customWidth="1"/>
    <col min="3589" max="3589" width="12.140625" style="21" customWidth="1"/>
    <col min="3590" max="3590" width="17.42578125" style="21" customWidth="1"/>
    <col min="3591" max="3591" width="12.42578125" style="21" customWidth="1"/>
    <col min="3592" max="3592" width="12.85546875" style="21" customWidth="1"/>
    <col min="3593" max="3593" width="12.7109375" style="21" customWidth="1"/>
    <col min="3594" max="3594" width="14" style="21" customWidth="1"/>
    <col min="3595" max="3595" width="13.5703125" style="21" customWidth="1"/>
    <col min="3596" max="3596" width="11.85546875" style="21" customWidth="1"/>
    <col min="3597" max="3840" width="9.140625" style="21"/>
    <col min="3841" max="3841" width="4.7109375" style="21" customWidth="1"/>
    <col min="3842" max="3842" width="16.85546875" style="21" customWidth="1"/>
    <col min="3843" max="3843" width="11.7109375" style="21" customWidth="1"/>
    <col min="3844" max="3844" width="11" style="21" customWidth="1"/>
    <col min="3845" max="3845" width="12.140625" style="21" customWidth="1"/>
    <col min="3846" max="3846" width="17.42578125" style="21" customWidth="1"/>
    <col min="3847" max="3847" width="12.42578125" style="21" customWidth="1"/>
    <col min="3848" max="3848" width="12.85546875" style="21" customWidth="1"/>
    <col min="3849" max="3849" width="12.7109375" style="21" customWidth="1"/>
    <col min="3850" max="3850" width="14" style="21" customWidth="1"/>
    <col min="3851" max="3851" width="13.5703125" style="21" customWidth="1"/>
    <col min="3852" max="3852" width="11.85546875" style="21" customWidth="1"/>
    <col min="3853" max="4096" width="9.140625" style="21"/>
    <col min="4097" max="4097" width="4.7109375" style="21" customWidth="1"/>
    <col min="4098" max="4098" width="16.85546875" style="21" customWidth="1"/>
    <col min="4099" max="4099" width="11.7109375" style="21" customWidth="1"/>
    <col min="4100" max="4100" width="11" style="21" customWidth="1"/>
    <col min="4101" max="4101" width="12.140625" style="21" customWidth="1"/>
    <col min="4102" max="4102" width="17.42578125" style="21" customWidth="1"/>
    <col min="4103" max="4103" width="12.42578125" style="21" customWidth="1"/>
    <col min="4104" max="4104" width="12.85546875" style="21" customWidth="1"/>
    <col min="4105" max="4105" width="12.7109375" style="21" customWidth="1"/>
    <col min="4106" max="4106" width="14" style="21" customWidth="1"/>
    <col min="4107" max="4107" width="13.5703125" style="21" customWidth="1"/>
    <col min="4108" max="4108" width="11.85546875" style="21" customWidth="1"/>
    <col min="4109" max="4352" width="9.140625" style="21"/>
    <col min="4353" max="4353" width="4.7109375" style="21" customWidth="1"/>
    <col min="4354" max="4354" width="16.85546875" style="21" customWidth="1"/>
    <col min="4355" max="4355" width="11.7109375" style="21" customWidth="1"/>
    <col min="4356" max="4356" width="11" style="21" customWidth="1"/>
    <col min="4357" max="4357" width="12.140625" style="21" customWidth="1"/>
    <col min="4358" max="4358" width="17.42578125" style="21" customWidth="1"/>
    <col min="4359" max="4359" width="12.42578125" style="21" customWidth="1"/>
    <col min="4360" max="4360" width="12.85546875" style="21" customWidth="1"/>
    <col min="4361" max="4361" width="12.7109375" style="21" customWidth="1"/>
    <col min="4362" max="4362" width="14" style="21" customWidth="1"/>
    <col min="4363" max="4363" width="13.5703125" style="21" customWidth="1"/>
    <col min="4364" max="4364" width="11.85546875" style="21" customWidth="1"/>
    <col min="4365" max="4608" width="9.140625" style="21"/>
    <col min="4609" max="4609" width="4.7109375" style="21" customWidth="1"/>
    <col min="4610" max="4610" width="16.85546875" style="21" customWidth="1"/>
    <col min="4611" max="4611" width="11.7109375" style="21" customWidth="1"/>
    <col min="4612" max="4612" width="11" style="21" customWidth="1"/>
    <col min="4613" max="4613" width="12.140625" style="21" customWidth="1"/>
    <col min="4614" max="4614" width="17.42578125" style="21" customWidth="1"/>
    <col min="4615" max="4615" width="12.42578125" style="21" customWidth="1"/>
    <col min="4616" max="4616" width="12.85546875" style="21" customWidth="1"/>
    <col min="4617" max="4617" width="12.7109375" style="21" customWidth="1"/>
    <col min="4618" max="4618" width="14" style="21" customWidth="1"/>
    <col min="4619" max="4619" width="13.5703125" style="21" customWidth="1"/>
    <col min="4620" max="4620" width="11.85546875" style="21" customWidth="1"/>
    <col min="4621" max="4864" width="9.140625" style="21"/>
    <col min="4865" max="4865" width="4.7109375" style="21" customWidth="1"/>
    <col min="4866" max="4866" width="16.85546875" style="21" customWidth="1"/>
    <col min="4867" max="4867" width="11.7109375" style="21" customWidth="1"/>
    <col min="4868" max="4868" width="11" style="21" customWidth="1"/>
    <col min="4869" max="4869" width="12.140625" style="21" customWidth="1"/>
    <col min="4870" max="4870" width="17.42578125" style="21" customWidth="1"/>
    <col min="4871" max="4871" width="12.42578125" style="21" customWidth="1"/>
    <col min="4872" max="4872" width="12.85546875" style="21" customWidth="1"/>
    <col min="4873" max="4873" width="12.7109375" style="21" customWidth="1"/>
    <col min="4874" max="4874" width="14" style="21" customWidth="1"/>
    <col min="4875" max="4875" width="13.5703125" style="21" customWidth="1"/>
    <col min="4876" max="4876" width="11.85546875" style="21" customWidth="1"/>
    <col min="4877" max="5120" width="9.140625" style="21"/>
    <col min="5121" max="5121" width="4.7109375" style="21" customWidth="1"/>
    <col min="5122" max="5122" width="16.85546875" style="21" customWidth="1"/>
    <col min="5123" max="5123" width="11.7109375" style="21" customWidth="1"/>
    <col min="5124" max="5124" width="11" style="21" customWidth="1"/>
    <col min="5125" max="5125" width="12.140625" style="21" customWidth="1"/>
    <col min="5126" max="5126" width="17.42578125" style="21" customWidth="1"/>
    <col min="5127" max="5127" width="12.42578125" style="21" customWidth="1"/>
    <col min="5128" max="5128" width="12.85546875" style="21" customWidth="1"/>
    <col min="5129" max="5129" width="12.7109375" style="21" customWidth="1"/>
    <col min="5130" max="5130" width="14" style="21" customWidth="1"/>
    <col min="5131" max="5131" width="13.5703125" style="21" customWidth="1"/>
    <col min="5132" max="5132" width="11.85546875" style="21" customWidth="1"/>
    <col min="5133" max="5376" width="9.140625" style="21"/>
    <col min="5377" max="5377" width="4.7109375" style="21" customWidth="1"/>
    <col min="5378" max="5378" width="16.85546875" style="21" customWidth="1"/>
    <col min="5379" max="5379" width="11.7109375" style="21" customWidth="1"/>
    <col min="5380" max="5380" width="11" style="21" customWidth="1"/>
    <col min="5381" max="5381" width="12.140625" style="21" customWidth="1"/>
    <col min="5382" max="5382" width="17.42578125" style="21" customWidth="1"/>
    <col min="5383" max="5383" width="12.42578125" style="21" customWidth="1"/>
    <col min="5384" max="5384" width="12.85546875" style="21" customWidth="1"/>
    <col min="5385" max="5385" width="12.7109375" style="21" customWidth="1"/>
    <col min="5386" max="5386" width="14" style="21" customWidth="1"/>
    <col min="5387" max="5387" width="13.5703125" style="21" customWidth="1"/>
    <col min="5388" max="5388" width="11.85546875" style="21" customWidth="1"/>
    <col min="5389" max="5632" width="9.140625" style="21"/>
    <col min="5633" max="5633" width="4.7109375" style="21" customWidth="1"/>
    <col min="5634" max="5634" width="16.85546875" style="21" customWidth="1"/>
    <col min="5635" max="5635" width="11.7109375" style="21" customWidth="1"/>
    <col min="5636" max="5636" width="11" style="21" customWidth="1"/>
    <col min="5637" max="5637" width="12.140625" style="21" customWidth="1"/>
    <col min="5638" max="5638" width="17.42578125" style="21" customWidth="1"/>
    <col min="5639" max="5639" width="12.42578125" style="21" customWidth="1"/>
    <col min="5640" max="5640" width="12.85546875" style="21" customWidth="1"/>
    <col min="5641" max="5641" width="12.7109375" style="21" customWidth="1"/>
    <col min="5642" max="5642" width="14" style="21" customWidth="1"/>
    <col min="5643" max="5643" width="13.5703125" style="21" customWidth="1"/>
    <col min="5644" max="5644" width="11.85546875" style="21" customWidth="1"/>
    <col min="5645" max="5888" width="9.140625" style="21"/>
    <col min="5889" max="5889" width="4.7109375" style="21" customWidth="1"/>
    <col min="5890" max="5890" width="16.85546875" style="21" customWidth="1"/>
    <col min="5891" max="5891" width="11.7109375" style="21" customWidth="1"/>
    <col min="5892" max="5892" width="11" style="21" customWidth="1"/>
    <col min="5893" max="5893" width="12.140625" style="21" customWidth="1"/>
    <col min="5894" max="5894" width="17.42578125" style="21" customWidth="1"/>
    <col min="5895" max="5895" width="12.42578125" style="21" customWidth="1"/>
    <col min="5896" max="5896" width="12.85546875" style="21" customWidth="1"/>
    <col min="5897" max="5897" width="12.7109375" style="21" customWidth="1"/>
    <col min="5898" max="5898" width="14" style="21" customWidth="1"/>
    <col min="5899" max="5899" width="13.5703125" style="21" customWidth="1"/>
    <col min="5900" max="5900" width="11.85546875" style="21" customWidth="1"/>
    <col min="5901" max="6144" width="9.140625" style="21"/>
    <col min="6145" max="6145" width="4.7109375" style="21" customWidth="1"/>
    <col min="6146" max="6146" width="16.85546875" style="21" customWidth="1"/>
    <col min="6147" max="6147" width="11.7109375" style="21" customWidth="1"/>
    <col min="6148" max="6148" width="11" style="21" customWidth="1"/>
    <col min="6149" max="6149" width="12.140625" style="21" customWidth="1"/>
    <col min="6150" max="6150" width="17.42578125" style="21" customWidth="1"/>
    <col min="6151" max="6151" width="12.42578125" style="21" customWidth="1"/>
    <col min="6152" max="6152" width="12.85546875" style="21" customWidth="1"/>
    <col min="6153" max="6153" width="12.7109375" style="21" customWidth="1"/>
    <col min="6154" max="6154" width="14" style="21" customWidth="1"/>
    <col min="6155" max="6155" width="13.5703125" style="21" customWidth="1"/>
    <col min="6156" max="6156" width="11.85546875" style="21" customWidth="1"/>
    <col min="6157" max="6400" width="9.140625" style="21"/>
    <col min="6401" max="6401" width="4.7109375" style="21" customWidth="1"/>
    <col min="6402" max="6402" width="16.85546875" style="21" customWidth="1"/>
    <col min="6403" max="6403" width="11.7109375" style="21" customWidth="1"/>
    <col min="6404" max="6404" width="11" style="21" customWidth="1"/>
    <col min="6405" max="6405" width="12.140625" style="21" customWidth="1"/>
    <col min="6406" max="6406" width="17.42578125" style="21" customWidth="1"/>
    <col min="6407" max="6407" width="12.42578125" style="21" customWidth="1"/>
    <col min="6408" max="6408" width="12.85546875" style="21" customWidth="1"/>
    <col min="6409" max="6409" width="12.7109375" style="21" customWidth="1"/>
    <col min="6410" max="6410" width="14" style="21" customWidth="1"/>
    <col min="6411" max="6411" width="13.5703125" style="21" customWidth="1"/>
    <col min="6412" max="6412" width="11.85546875" style="21" customWidth="1"/>
    <col min="6413" max="6656" width="9.140625" style="21"/>
    <col min="6657" max="6657" width="4.7109375" style="21" customWidth="1"/>
    <col min="6658" max="6658" width="16.85546875" style="21" customWidth="1"/>
    <col min="6659" max="6659" width="11.7109375" style="21" customWidth="1"/>
    <col min="6660" max="6660" width="11" style="21" customWidth="1"/>
    <col min="6661" max="6661" width="12.140625" style="21" customWidth="1"/>
    <col min="6662" max="6662" width="17.42578125" style="21" customWidth="1"/>
    <col min="6663" max="6663" width="12.42578125" style="21" customWidth="1"/>
    <col min="6664" max="6664" width="12.85546875" style="21" customWidth="1"/>
    <col min="6665" max="6665" width="12.7109375" style="21" customWidth="1"/>
    <col min="6666" max="6666" width="14" style="21" customWidth="1"/>
    <col min="6667" max="6667" width="13.5703125" style="21" customWidth="1"/>
    <col min="6668" max="6668" width="11.85546875" style="21" customWidth="1"/>
    <col min="6669" max="6912" width="9.140625" style="21"/>
    <col min="6913" max="6913" width="4.7109375" style="21" customWidth="1"/>
    <col min="6914" max="6914" width="16.85546875" style="21" customWidth="1"/>
    <col min="6915" max="6915" width="11.7109375" style="21" customWidth="1"/>
    <col min="6916" max="6916" width="11" style="21" customWidth="1"/>
    <col min="6917" max="6917" width="12.140625" style="21" customWidth="1"/>
    <col min="6918" max="6918" width="17.42578125" style="21" customWidth="1"/>
    <col min="6919" max="6919" width="12.42578125" style="21" customWidth="1"/>
    <col min="6920" max="6920" width="12.85546875" style="21" customWidth="1"/>
    <col min="6921" max="6921" width="12.7109375" style="21" customWidth="1"/>
    <col min="6922" max="6922" width="14" style="21" customWidth="1"/>
    <col min="6923" max="6923" width="13.5703125" style="21" customWidth="1"/>
    <col min="6924" max="6924" width="11.85546875" style="21" customWidth="1"/>
    <col min="6925" max="7168" width="9.140625" style="21"/>
    <col min="7169" max="7169" width="4.7109375" style="21" customWidth="1"/>
    <col min="7170" max="7170" width="16.85546875" style="21" customWidth="1"/>
    <col min="7171" max="7171" width="11.7109375" style="21" customWidth="1"/>
    <col min="7172" max="7172" width="11" style="21" customWidth="1"/>
    <col min="7173" max="7173" width="12.140625" style="21" customWidth="1"/>
    <col min="7174" max="7174" width="17.42578125" style="21" customWidth="1"/>
    <col min="7175" max="7175" width="12.42578125" style="21" customWidth="1"/>
    <col min="7176" max="7176" width="12.85546875" style="21" customWidth="1"/>
    <col min="7177" max="7177" width="12.7109375" style="21" customWidth="1"/>
    <col min="7178" max="7178" width="14" style="21" customWidth="1"/>
    <col min="7179" max="7179" width="13.5703125" style="21" customWidth="1"/>
    <col min="7180" max="7180" width="11.85546875" style="21" customWidth="1"/>
    <col min="7181" max="7424" width="9.140625" style="21"/>
    <col min="7425" max="7425" width="4.7109375" style="21" customWidth="1"/>
    <col min="7426" max="7426" width="16.85546875" style="21" customWidth="1"/>
    <col min="7427" max="7427" width="11.7109375" style="21" customWidth="1"/>
    <col min="7428" max="7428" width="11" style="21" customWidth="1"/>
    <col min="7429" max="7429" width="12.140625" style="21" customWidth="1"/>
    <col min="7430" max="7430" width="17.42578125" style="21" customWidth="1"/>
    <col min="7431" max="7431" width="12.42578125" style="21" customWidth="1"/>
    <col min="7432" max="7432" width="12.85546875" style="21" customWidth="1"/>
    <col min="7433" max="7433" width="12.7109375" style="21" customWidth="1"/>
    <col min="7434" max="7434" width="14" style="21" customWidth="1"/>
    <col min="7435" max="7435" width="13.5703125" style="21" customWidth="1"/>
    <col min="7436" max="7436" width="11.85546875" style="21" customWidth="1"/>
    <col min="7437" max="7680" width="9.140625" style="21"/>
    <col min="7681" max="7681" width="4.7109375" style="21" customWidth="1"/>
    <col min="7682" max="7682" width="16.85546875" style="21" customWidth="1"/>
    <col min="7683" max="7683" width="11.7109375" style="21" customWidth="1"/>
    <col min="7684" max="7684" width="11" style="21" customWidth="1"/>
    <col min="7685" max="7685" width="12.140625" style="21" customWidth="1"/>
    <col min="7686" max="7686" width="17.42578125" style="21" customWidth="1"/>
    <col min="7687" max="7687" width="12.42578125" style="21" customWidth="1"/>
    <col min="7688" max="7688" width="12.85546875" style="21" customWidth="1"/>
    <col min="7689" max="7689" width="12.7109375" style="21" customWidth="1"/>
    <col min="7690" max="7690" width="14" style="21" customWidth="1"/>
    <col min="7691" max="7691" width="13.5703125" style="21" customWidth="1"/>
    <col min="7692" max="7692" width="11.85546875" style="21" customWidth="1"/>
    <col min="7693" max="7936" width="9.140625" style="21"/>
    <col min="7937" max="7937" width="4.7109375" style="21" customWidth="1"/>
    <col min="7938" max="7938" width="16.85546875" style="21" customWidth="1"/>
    <col min="7939" max="7939" width="11.7109375" style="21" customWidth="1"/>
    <col min="7940" max="7940" width="11" style="21" customWidth="1"/>
    <col min="7941" max="7941" width="12.140625" style="21" customWidth="1"/>
    <col min="7942" max="7942" width="17.42578125" style="21" customWidth="1"/>
    <col min="7943" max="7943" width="12.42578125" style="21" customWidth="1"/>
    <col min="7944" max="7944" width="12.85546875" style="21" customWidth="1"/>
    <col min="7945" max="7945" width="12.7109375" style="21" customWidth="1"/>
    <col min="7946" max="7946" width="14" style="21" customWidth="1"/>
    <col min="7947" max="7947" width="13.5703125" style="21" customWidth="1"/>
    <col min="7948" max="7948" width="11.85546875" style="21" customWidth="1"/>
    <col min="7949" max="8192" width="9.140625" style="21"/>
    <col min="8193" max="8193" width="4.7109375" style="21" customWidth="1"/>
    <col min="8194" max="8194" width="16.85546875" style="21" customWidth="1"/>
    <col min="8195" max="8195" width="11.7109375" style="21" customWidth="1"/>
    <col min="8196" max="8196" width="11" style="21" customWidth="1"/>
    <col min="8197" max="8197" width="12.140625" style="21" customWidth="1"/>
    <col min="8198" max="8198" width="17.42578125" style="21" customWidth="1"/>
    <col min="8199" max="8199" width="12.42578125" style="21" customWidth="1"/>
    <col min="8200" max="8200" width="12.85546875" style="21" customWidth="1"/>
    <col min="8201" max="8201" width="12.7109375" style="21" customWidth="1"/>
    <col min="8202" max="8202" width="14" style="21" customWidth="1"/>
    <col min="8203" max="8203" width="13.5703125" style="21" customWidth="1"/>
    <col min="8204" max="8204" width="11.85546875" style="21" customWidth="1"/>
    <col min="8205" max="8448" width="9.140625" style="21"/>
    <col min="8449" max="8449" width="4.7109375" style="21" customWidth="1"/>
    <col min="8450" max="8450" width="16.85546875" style="21" customWidth="1"/>
    <col min="8451" max="8451" width="11.7109375" style="21" customWidth="1"/>
    <col min="8452" max="8452" width="11" style="21" customWidth="1"/>
    <col min="8453" max="8453" width="12.140625" style="21" customWidth="1"/>
    <col min="8454" max="8454" width="17.42578125" style="21" customWidth="1"/>
    <col min="8455" max="8455" width="12.42578125" style="21" customWidth="1"/>
    <col min="8456" max="8456" width="12.85546875" style="21" customWidth="1"/>
    <col min="8457" max="8457" width="12.7109375" style="21" customWidth="1"/>
    <col min="8458" max="8458" width="14" style="21" customWidth="1"/>
    <col min="8459" max="8459" width="13.5703125" style="21" customWidth="1"/>
    <col min="8460" max="8460" width="11.85546875" style="21" customWidth="1"/>
    <col min="8461" max="8704" width="9.140625" style="21"/>
    <col min="8705" max="8705" width="4.7109375" style="21" customWidth="1"/>
    <col min="8706" max="8706" width="16.85546875" style="21" customWidth="1"/>
    <col min="8707" max="8707" width="11.7109375" style="21" customWidth="1"/>
    <col min="8708" max="8708" width="11" style="21" customWidth="1"/>
    <col min="8709" max="8709" width="12.140625" style="21" customWidth="1"/>
    <col min="8710" max="8710" width="17.42578125" style="21" customWidth="1"/>
    <col min="8711" max="8711" width="12.42578125" style="21" customWidth="1"/>
    <col min="8712" max="8712" width="12.85546875" style="21" customWidth="1"/>
    <col min="8713" max="8713" width="12.7109375" style="21" customWidth="1"/>
    <col min="8714" max="8714" width="14" style="21" customWidth="1"/>
    <col min="8715" max="8715" width="13.5703125" style="21" customWidth="1"/>
    <col min="8716" max="8716" width="11.85546875" style="21" customWidth="1"/>
    <col min="8717" max="8960" width="9.140625" style="21"/>
    <col min="8961" max="8961" width="4.7109375" style="21" customWidth="1"/>
    <col min="8962" max="8962" width="16.85546875" style="21" customWidth="1"/>
    <col min="8963" max="8963" width="11.7109375" style="21" customWidth="1"/>
    <col min="8964" max="8964" width="11" style="21" customWidth="1"/>
    <col min="8965" max="8965" width="12.140625" style="21" customWidth="1"/>
    <col min="8966" max="8966" width="17.42578125" style="21" customWidth="1"/>
    <col min="8967" max="8967" width="12.42578125" style="21" customWidth="1"/>
    <col min="8968" max="8968" width="12.85546875" style="21" customWidth="1"/>
    <col min="8969" max="8969" width="12.7109375" style="21" customWidth="1"/>
    <col min="8970" max="8970" width="14" style="21" customWidth="1"/>
    <col min="8971" max="8971" width="13.5703125" style="21" customWidth="1"/>
    <col min="8972" max="8972" width="11.85546875" style="21" customWidth="1"/>
    <col min="8973" max="9216" width="9.140625" style="21"/>
    <col min="9217" max="9217" width="4.7109375" style="21" customWidth="1"/>
    <col min="9218" max="9218" width="16.85546875" style="21" customWidth="1"/>
    <col min="9219" max="9219" width="11.7109375" style="21" customWidth="1"/>
    <col min="9220" max="9220" width="11" style="21" customWidth="1"/>
    <col min="9221" max="9221" width="12.140625" style="21" customWidth="1"/>
    <col min="9222" max="9222" width="17.42578125" style="21" customWidth="1"/>
    <col min="9223" max="9223" width="12.42578125" style="21" customWidth="1"/>
    <col min="9224" max="9224" width="12.85546875" style="21" customWidth="1"/>
    <col min="9225" max="9225" width="12.7109375" style="21" customWidth="1"/>
    <col min="9226" max="9226" width="14" style="21" customWidth="1"/>
    <col min="9227" max="9227" width="13.5703125" style="21" customWidth="1"/>
    <col min="9228" max="9228" width="11.85546875" style="21" customWidth="1"/>
    <col min="9229" max="9472" width="9.140625" style="21"/>
    <col min="9473" max="9473" width="4.7109375" style="21" customWidth="1"/>
    <col min="9474" max="9474" width="16.85546875" style="21" customWidth="1"/>
    <col min="9475" max="9475" width="11.7109375" style="21" customWidth="1"/>
    <col min="9476" max="9476" width="11" style="21" customWidth="1"/>
    <col min="9477" max="9477" width="12.140625" style="21" customWidth="1"/>
    <col min="9478" max="9478" width="17.42578125" style="21" customWidth="1"/>
    <col min="9479" max="9479" width="12.42578125" style="21" customWidth="1"/>
    <col min="9480" max="9480" width="12.85546875" style="21" customWidth="1"/>
    <col min="9481" max="9481" width="12.7109375" style="21" customWidth="1"/>
    <col min="9482" max="9482" width="14" style="21" customWidth="1"/>
    <col min="9483" max="9483" width="13.5703125" style="21" customWidth="1"/>
    <col min="9484" max="9484" width="11.85546875" style="21" customWidth="1"/>
    <col min="9485" max="9728" width="9.140625" style="21"/>
    <col min="9729" max="9729" width="4.7109375" style="21" customWidth="1"/>
    <col min="9730" max="9730" width="16.85546875" style="21" customWidth="1"/>
    <col min="9731" max="9731" width="11.7109375" style="21" customWidth="1"/>
    <col min="9732" max="9732" width="11" style="21" customWidth="1"/>
    <col min="9733" max="9733" width="12.140625" style="21" customWidth="1"/>
    <col min="9734" max="9734" width="17.42578125" style="21" customWidth="1"/>
    <col min="9735" max="9735" width="12.42578125" style="21" customWidth="1"/>
    <col min="9736" max="9736" width="12.85546875" style="21" customWidth="1"/>
    <col min="9737" max="9737" width="12.7109375" style="21" customWidth="1"/>
    <col min="9738" max="9738" width="14" style="21" customWidth="1"/>
    <col min="9739" max="9739" width="13.5703125" style="21" customWidth="1"/>
    <col min="9740" max="9740" width="11.85546875" style="21" customWidth="1"/>
    <col min="9741" max="9984" width="9.140625" style="21"/>
    <col min="9985" max="9985" width="4.7109375" style="21" customWidth="1"/>
    <col min="9986" max="9986" width="16.85546875" style="21" customWidth="1"/>
    <col min="9987" max="9987" width="11.7109375" style="21" customWidth="1"/>
    <col min="9988" max="9988" width="11" style="21" customWidth="1"/>
    <col min="9989" max="9989" width="12.140625" style="21" customWidth="1"/>
    <col min="9990" max="9990" width="17.42578125" style="21" customWidth="1"/>
    <col min="9991" max="9991" width="12.42578125" style="21" customWidth="1"/>
    <col min="9992" max="9992" width="12.85546875" style="21" customWidth="1"/>
    <col min="9993" max="9993" width="12.7109375" style="21" customWidth="1"/>
    <col min="9994" max="9994" width="14" style="21" customWidth="1"/>
    <col min="9995" max="9995" width="13.5703125" style="21" customWidth="1"/>
    <col min="9996" max="9996" width="11.85546875" style="21" customWidth="1"/>
    <col min="9997" max="10240" width="9.140625" style="21"/>
    <col min="10241" max="10241" width="4.7109375" style="21" customWidth="1"/>
    <col min="10242" max="10242" width="16.85546875" style="21" customWidth="1"/>
    <col min="10243" max="10243" width="11.7109375" style="21" customWidth="1"/>
    <col min="10244" max="10244" width="11" style="21" customWidth="1"/>
    <col min="10245" max="10245" width="12.140625" style="21" customWidth="1"/>
    <col min="10246" max="10246" width="17.42578125" style="21" customWidth="1"/>
    <col min="10247" max="10247" width="12.42578125" style="21" customWidth="1"/>
    <col min="10248" max="10248" width="12.85546875" style="21" customWidth="1"/>
    <col min="10249" max="10249" width="12.7109375" style="21" customWidth="1"/>
    <col min="10250" max="10250" width="14" style="21" customWidth="1"/>
    <col min="10251" max="10251" width="13.5703125" style="21" customWidth="1"/>
    <col min="10252" max="10252" width="11.85546875" style="21" customWidth="1"/>
    <col min="10253" max="10496" width="9.140625" style="21"/>
    <col min="10497" max="10497" width="4.7109375" style="21" customWidth="1"/>
    <col min="10498" max="10498" width="16.85546875" style="21" customWidth="1"/>
    <col min="10499" max="10499" width="11.7109375" style="21" customWidth="1"/>
    <col min="10500" max="10500" width="11" style="21" customWidth="1"/>
    <col min="10501" max="10501" width="12.140625" style="21" customWidth="1"/>
    <col min="10502" max="10502" width="17.42578125" style="21" customWidth="1"/>
    <col min="10503" max="10503" width="12.42578125" style="21" customWidth="1"/>
    <col min="10504" max="10504" width="12.85546875" style="21" customWidth="1"/>
    <col min="10505" max="10505" width="12.7109375" style="21" customWidth="1"/>
    <col min="10506" max="10506" width="14" style="21" customWidth="1"/>
    <col min="10507" max="10507" width="13.5703125" style="21" customWidth="1"/>
    <col min="10508" max="10508" width="11.85546875" style="21" customWidth="1"/>
    <col min="10509" max="10752" width="9.140625" style="21"/>
    <col min="10753" max="10753" width="4.7109375" style="21" customWidth="1"/>
    <col min="10754" max="10754" width="16.85546875" style="21" customWidth="1"/>
    <col min="10755" max="10755" width="11.7109375" style="21" customWidth="1"/>
    <col min="10756" max="10756" width="11" style="21" customWidth="1"/>
    <col min="10757" max="10757" width="12.140625" style="21" customWidth="1"/>
    <col min="10758" max="10758" width="17.42578125" style="21" customWidth="1"/>
    <col min="10759" max="10759" width="12.42578125" style="21" customWidth="1"/>
    <col min="10760" max="10760" width="12.85546875" style="21" customWidth="1"/>
    <col min="10761" max="10761" width="12.7109375" style="21" customWidth="1"/>
    <col min="10762" max="10762" width="14" style="21" customWidth="1"/>
    <col min="10763" max="10763" width="13.5703125" style="21" customWidth="1"/>
    <col min="10764" max="10764" width="11.85546875" style="21" customWidth="1"/>
    <col min="10765" max="11008" width="9.140625" style="21"/>
    <col min="11009" max="11009" width="4.7109375" style="21" customWidth="1"/>
    <col min="11010" max="11010" width="16.85546875" style="21" customWidth="1"/>
    <col min="11011" max="11011" width="11.7109375" style="21" customWidth="1"/>
    <col min="11012" max="11012" width="11" style="21" customWidth="1"/>
    <col min="11013" max="11013" width="12.140625" style="21" customWidth="1"/>
    <col min="11014" max="11014" width="17.42578125" style="21" customWidth="1"/>
    <col min="11015" max="11015" width="12.42578125" style="21" customWidth="1"/>
    <col min="11016" max="11016" width="12.85546875" style="21" customWidth="1"/>
    <col min="11017" max="11017" width="12.7109375" style="21" customWidth="1"/>
    <col min="11018" max="11018" width="14" style="21" customWidth="1"/>
    <col min="11019" max="11019" width="13.5703125" style="21" customWidth="1"/>
    <col min="11020" max="11020" width="11.85546875" style="21" customWidth="1"/>
    <col min="11021" max="11264" width="9.140625" style="21"/>
    <col min="11265" max="11265" width="4.7109375" style="21" customWidth="1"/>
    <col min="11266" max="11266" width="16.85546875" style="21" customWidth="1"/>
    <col min="11267" max="11267" width="11.7109375" style="21" customWidth="1"/>
    <col min="11268" max="11268" width="11" style="21" customWidth="1"/>
    <col min="11269" max="11269" width="12.140625" style="21" customWidth="1"/>
    <col min="11270" max="11270" width="17.42578125" style="21" customWidth="1"/>
    <col min="11271" max="11271" width="12.42578125" style="21" customWidth="1"/>
    <col min="11272" max="11272" width="12.85546875" style="21" customWidth="1"/>
    <col min="11273" max="11273" width="12.7109375" style="21" customWidth="1"/>
    <col min="11274" max="11274" width="14" style="21" customWidth="1"/>
    <col min="11275" max="11275" width="13.5703125" style="21" customWidth="1"/>
    <col min="11276" max="11276" width="11.85546875" style="21" customWidth="1"/>
    <col min="11277" max="11520" width="9.140625" style="21"/>
    <col min="11521" max="11521" width="4.7109375" style="21" customWidth="1"/>
    <col min="11522" max="11522" width="16.85546875" style="21" customWidth="1"/>
    <col min="11523" max="11523" width="11.7109375" style="21" customWidth="1"/>
    <col min="11524" max="11524" width="11" style="21" customWidth="1"/>
    <col min="11525" max="11525" width="12.140625" style="21" customWidth="1"/>
    <col min="11526" max="11526" width="17.42578125" style="21" customWidth="1"/>
    <col min="11527" max="11527" width="12.42578125" style="21" customWidth="1"/>
    <col min="11528" max="11528" width="12.85546875" style="21" customWidth="1"/>
    <col min="11529" max="11529" width="12.7109375" style="21" customWidth="1"/>
    <col min="11530" max="11530" width="14" style="21" customWidth="1"/>
    <col min="11531" max="11531" width="13.5703125" style="21" customWidth="1"/>
    <col min="11532" max="11532" width="11.85546875" style="21" customWidth="1"/>
    <col min="11533" max="11776" width="9.140625" style="21"/>
    <col min="11777" max="11777" width="4.7109375" style="21" customWidth="1"/>
    <col min="11778" max="11778" width="16.85546875" style="21" customWidth="1"/>
    <col min="11779" max="11779" width="11.7109375" style="21" customWidth="1"/>
    <col min="11780" max="11780" width="11" style="21" customWidth="1"/>
    <col min="11781" max="11781" width="12.140625" style="21" customWidth="1"/>
    <col min="11782" max="11782" width="17.42578125" style="21" customWidth="1"/>
    <col min="11783" max="11783" width="12.42578125" style="21" customWidth="1"/>
    <col min="11784" max="11784" width="12.85546875" style="21" customWidth="1"/>
    <col min="11785" max="11785" width="12.7109375" style="21" customWidth="1"/>
    <col min="11786" max="11786" width="14" style="21" customWidth="1"/>
    <col min="11787" max="11787" width="13.5703125" style="21" customWidth="1"/>
    <col min="11788" max="11788" width="11.85546875" style="21" customWidth="1"/>
    <col min="11789" max="12032" width="9.140625" style="21"/>
    <col min="12033" max="12033" width="4.7109375" style="21" customWidth="1"/>
    <col min="12034" max="12034" width="16.85546875" style="21" customWidth="1"/>
    <col min="12035" max="12035" width="11.7109375" style="21" customWidth="1"/>
    <col min="12036" max="12036" width="11" style="21" customWidth="1"/>
    <col min="12037" max="12037" width="12.140625" style="21" customWidth="1"/>
    <col min="12038" max="12038" width="17.42578125" style="21" customWidth="1"/>
    <col min="12039" max="12039" width="12.42578125" style="21" customWidth="1"/>
    <col min="12040" max="12040" width="12.85546875" style="21" customWidth="1"/>
    <col min="12041" max="12041" width="12.7109375" style="21" customWidth="1"/>
    <col min="12042" max="12042" width="14" style="21" customWidth="1"/>
    <col min="12043" max="12043" width="13.5703125" style="21" customWidth="1"/>
    <col min="12044" max="12044" width="11.85546875" style="21" customWidth="1"/>
    <col min="12045" max="12288" width="9.140625" style="21"/>
    <col min="12289" max="12289" width="4.7109375" style="21" customWidth="1"/>
    <col min="12290" max="12290" width="16.85546875" style="21" customWidth="1"/>
    <col min="12291" max="12291" width="11.7109375" style="21" customWidth="1"/>
    <col min="12292" max="12292" width="11" style="21" customWidth="1"/>
    <col min="12293" max="12293" width="12.140625" style="21" customWidth="1"/>
    <col min="12294" max="12294" width="17.42578125" style="21" customWidth="1"/>
    <col min="12295" max="12295" width="12.42578125" style="21" customWidth="1"/>
    <col min="12296" max="12296" width="12.85546875" style="21" customWidth="1"/>
    <col min="12297" max="12297" width="12.7109375" style="21" customWidth="1"/>
    <col min="12298" max="12298" width="14" style="21" customWidth="1"/>
    <col min="12299" max="12299" width="13.5703125" style="21" customWidth="1"/>
    <col min="12300" max="12300" width="11.85546875" style="21" customWidth="1"/>
    <col min="12301" max="12544" width="9.140625" style="21"/>
    <col min="12545" max="12545" width="4.7109375" style="21" customWidth="1"/>
    <col min="12546" max="12546" width="16.85546875" style="21" customWidth="1"/>
    <col min="12547" max="12547" width="11.7109375" style="21" customWidth="1"/>
    <col min="12548" max="12548" width="11" style="21" customWidth="1"/>
    <col min="12549" max="12549" width="12.140625" style="21" customWidth="1"/>
    <col min="12550" max="12550" width="17.42578125" style="21" customWidth="1"/>
    <col min="12551" max="12551" width="12.42578125" style="21" customWidth="1"/>
    <col min="12552" max="12552" width="12.85546875" style="21" customWidth="1"/>
    <col min="12553" max="12553" width="12.7109375" style="21" customWidth="1"/>
    <col min="12554" max="12554" width="14" style="21" customWidth="1"/>
    <col min="12555" max="12555" width="13.5703125" style="21" customWidth="1"/>
    <col min="12556" max="12556" width="11.85546875" style="21" customWidth="1"/>
    <col min="12557" max="12800" width="9.140625" style="21"/>
    <col min="12801" max="12801" width="4.7109375" style="21" customWidth="1"/>
    <col min="12802" max="12802" width="16.85546875" style="21" customWidth="1"/>
    <col min="12803" max="12803" width="11.7109375" style="21" customWidth="1"/>
    <col min="12804" max="12804" width="11" style="21" customWidth="1"/>
    <col min="12805" max="12805" width="12.140625" style="21" customWidth="1"/>
    <col min="12806" max="12806" width="17.42578125" style="21" customWidth="1"/>
    <col min="12807" max="12807" width="12.42578125" style="21" customWidth="1"/>
    <col min="12808" max="12808" width="12.85546875" style="21" customWidth="1"/>
    <col min="12809" max="12809" width="12.7109375" style="21" customWidth="1"/>
    <col min="12810" max="12810" width="14" style="21" customWidth="1"/>
    <col min="12811" max="12811" width="13.5703125" style="21" customWidth="1"/>
    <col min="12812" max="12812" width="11.85546875" style="21" customWidth="1"/>
    <col min="12813" max="13056" width="9.140625" style="21"/>
    <col min="13057" max="13057" width="4.7109375" style="21" customWidth="1"/>
    <col min="13058" max="13058" width="16.85546875" style="21" customWidth="1"/>
    <col min="13059" max="13059" width="11.7109375" style="21" customWidth="1"/>
    <col min="13060" max="13060" width="11" style="21" customWidth="1"/>
    <col min="13061" max="13061" width="12.140625" style="21" customWidth="1"/>
    <col min="13062" max="13062" width="17.42578125" style="21" customWidth="1"/>
    <col min="13063" max="13063" width="12.42578125" style="21" customWidth="1"/>
    <col min="13064" max="13064" width="12.85546875" style="21" customWidth="1"/>
    <col min="13065" max="13065" width="12.7109375" style="21" customWidth="1"/>
    <col min="13066" max="13066" width="14" style="21" customWidth="1"/>
    <col min="13067" max="13067" width="13.5703125" style="21" customWidth="1"/>
    <col min="13068" max="13068" width="11.85546875" style="21" customWidth="1"/>
    <col min="13069" max="13312" width="9.140625" style="21"/>
    <col min="13313" max="13313" width="4.7109375" style="21" customWidth="1"/>
    <col min="13314" max="13314" width="16.85546875" style="21" customWidth="1"/>
    <col min="13315" max="13315" width="11.7109375" style="21" customWidth="1"/>
    <col min="13316" max="13316" width="11" style="21" customWidth="1"/>
    <col min="13317" max="13317" width="12.140625" style="21" customWidth="1"/>
    <col min="13318" max="13318" width="17.42578125" style="21" customWidth="1"/>
    <col min="13319" max="13319" width="12.42578125" style="21" customWidth="1"/>
    <col min="13320" max="13320" width="12.85546875" style="21" customWidth="1"/>
    <col min="13321" max="13321" width="12.7109375" style="21" customWidth="1"/>
    <col min="13322" max="13322" width="14" style="21" customWidth="1"/>
    <col min="13323" max="13323" width="13.5703125" style="21" customWidth="1"/>
    <col min="13324" max="13324" width="11.85546875" style="21" customWidth="1"/>
    <col min="13325" max="13568" width="9.140625" style="21"/>
    <col min="13569" max="13569" width="4.7109375" style="21" customWidth="1"/>
    <col min="13570" max="13570" width="16.85546875" style="21" customWidth="1"/>
    <col min="13571" max="13571" width="11.7109375" style="21" customWidth="1"/>
    <col min="13572" max="13572" width="11" style="21" customWidth="1"/>
    <col min="13573" max="13573" width="12.140625" style="21" customWidth="1"/>
    <col min="13574" max="13574" width="17.42578125" style="21" customWidth="1"/>
    <col min="13575" max="13575" width="12.42578125" style="21" customWidth="1"/>
    <col min="13576" max="13576" width="12.85546875" style="21" customWidth="1"/>
    <col min="13577" max="13577" width="12.7109375" style="21" customWidth="1"/>
    <col min="13578" max="13578" width="14" style="21" customWidth="1"/>
    <col min="13579" max="13579" width="13.5703125" style="21" customWidth="1"/>
    <col min="13580" max="13580" width="11.85546875" style="21" customWidth="1"/>
    <col min="13581" max="13824" width="9.140625" style="21"/>
    <col min="13825" max="13825" width="4.7109375" style="21" customWidth="1"/>
    <col min="13826" max="13826" width="16.85546875" style="21" customWidth="1"/>
    <col min="13827" max="13827" width="11.7109375" style="21" customWidth="1"/>
    <col min="13828" max="13828" width="11" style="21" customWidth="1"/>
    <col min="13829" max="13829" width="12.140625" style="21" customWidth="1"/>
    <col min="13830" max="13830" width="17.42578125" style="21" customWidth="1"/>
    <col min="13831" max="13831" width="12.42578125" style="21" customWidth="1"/>
    <col min="13832" max="13832" width="12.85546875" style="21" customWidth="1"/>
    <col min="13833" max="13833" width="12.7109375" style="21" customWidth="1"/>
    <col min="13834" max="13834" width="14" style="21" customWidth="1"/>
    <col min="13835" max="13835" width="13.5703125" style="21" customWidth="1"/>
    <col min="13836" max="13836" width="11.85546875" style="21" customWidth="1"/>
    <col min="13837" max="14080" width="9.140625" style="21"/>
    <col min="14081" max="14081" width="4.7109375" style="21" customWidth="1"/>
    <col min="14082" max="14082" width="16.85546875" style="21" customWidth="1"/>
    <col min="14083" max="14083" width="11.7109375" style="21" customWidth="1"/>
    <col min="14084" max="14084" width="11" style="21" customWidth="1"/>
    <col min="14085" max="14085" width="12.140625" style="21" customWidth="1"/>
    <col min="14086" max="14086" width="17.42578125" style="21" customWidth="1"/>
    <col min="14087" max="14087" width="12.42578125" style="21" customWidth="1"/>
    <col min="14088" max="14088" width="12.85546875" style="21" customWidth="1"/>
    <col min="14089" max="14089" width="12.7109375" style="21" customWidth="1"/>
    <col min="14090" max="14090" width="14" style="21" customWidth="1"/>
    <col min="14091" max="14091" width="13.5703125" style="21" customWidth="1"/>
    <col min="14092" max="14092" width="11.85546875" style="21" customWidth="1"/>
    <col min="14093" max="14336" width="9.140625" style="21"/>
    <col min="14337" max="14337" width="4.7109375" style="21" customWidth="1"/>
    <col min="14338" max="14338" width="16.85546875" style="21" customWidth="1"/>
    <col min="14339" max="14339" width="11.7109375" style="21" customWidth="1"/>
    <col min="14340" max="14340" width="11" style="21" customWidth="1"/>
    <col min="14341" max="14341" width="12.140625" style="21" customWidth="1"/>
    <col min="14342" max="14342" width="17.42578125" style="21" customWidth="1"/>
    <col min="14343" max="14343" width="12.42578125" style="21" customWidth="1"/>
    <col min="14344" max="14344" width="12.85546875" style="21" customWidth="1"/>
    <col min="14345" max="14345" width="12.7109375" style="21" customWidth="1"/>
    <col min="14346" max="14346" width="14" style="21" customWidth="1"/>
    <col min="14347" max="14347" width="13.5703125" style="21" customWidth="1"/>
    <col min="14348" max="14348" width="11.85546875" style="21" customWidth="1"/>
    <col min="14349" max="14592" width="9.140625" style="21"/>
    <col min="14593" max="14593" width="4.7109375" style="21" customWidth="1"/>
    <col min="14594" max="14594" width="16.85546875" style="21" customWidth="1"/>
    <col min="14595" max="14595" width="11.7109375" style="21" customWidth="1"/>
    <col min="14596" max="14596" width="11" style="21" customWidth="1"/>
    <col min="14597" max="14597" width="12.140625" style="21" customWidth="1"/>
    <col min="14598" max="14598" width="17.42578125" style="21" customWidth="1"/>
    <col min="14599" max="14599" width="12.42578125" style="21" customWidth="1"/>
    <col min="14600" max="14600" width="12.85546875" style="21" customWidth="1"/>
    <col min="14601" max="14601" width="12.7109375" style="21" customWidth="1"/>
    <col min="14602" max="14602" width="14" style="21" customWidth="1"/>
    <col min="14603" max="14603" width="13.5703125" style="21" customWidth="1"/>
    <col min="14604" max="14604" width="11.85546875" style="21" customWidth="1"/>
    <col min="14605" max="14848" width="9.140625" style="21"/>
    <col min="14849" max="14849" width="4.7109375" style="21" customWidth="1"/>
    <col min="14850" max="14850" width="16.85546875" style="21" customWidth="1"/>
    <col min="14851" max="14851" width="11.7109375" style="21" customWidth="1"/>
    <col min="14852" max="14852" width="11" style="21" customWidth="1"/>
    <col min="14853" max="14853" width="12.140625" style="21" customWidth="1"/>
    <col min="14854" max="14854" width="17.42578125" style="21" customWidth="1"/>
    <col min="14855" max="14855" width="12.42578125" style="21" customWidth="1"/>
    <col min="14856" max="14856" width="12.85546875" style="21" customWidth="1"/>
    <col min="14857" max="14857" width="12.7109375" style="21" customWidth="1"/>
    <col min="14858" max="14858" width="14" style="21" customWidth="1"/>
    <col min="14859" max="14859" width="13.5703125" style="21" customWidth="1"/>
    <col min="14860" max="14860" width="11.85546875" style="21" customWidth="1"/>
    <col min="14861" max="15104" width="9.140625" style="21"/>
    <col min="15105" max="15105" width="4.7109375" style="21" customWidth="1"/>
    <col min="15106" max="15106" width="16.85546875" style="21" customWidth="1"/>
    <col min="15107" max="15107" width="11.7109375" style="21" customWidth="1"/>
    <col min="15108" max="15108" width="11" style="21" customWidth="1"/>
    <col min="15109" max="15109" width="12.140625" style="21" customWidth="1"/>
    <col min="15110" max="15110" width="17.42578125" style="21" customWidth="1"/>
    <col min="15111" max="15111" width="12.42578125" style="21" customWidth="1"/>
    <col min="15112" max="15112" width="12.85546875" style="21" customWidth="1"/>
    <col min="15113" max="15113" width="12.7109375" style="21" customWidth="1"/>
    <col min="15114" max="15114" width="14" style="21" customWidth="1"/>
    <col min="15115" max="15115" width="13.5703125" style="21" customWidth="1"/>
    <col min="15116" max="15116" width="11.85546875" style="21" customWidth="1"/>
    <col min="15117" max="15360" width="9.140625" style="21"/>
    <col min="15361" max="15361" width="4.7109375" style="21" customWidth="1"/>
    <col min="15362" max="15362" width="16.85546875" style="21" customWidth="1"/>
    <col min="15363" max="15363" width="11.7109375" style="21" customWidth="1"/>
    <col min="15364" max="15364" width="11" style="21" customWidth="1"/>
    <col min="15365" max="15365" width="12.140625" style="21" customWidth="1"/>
    <col min="15366" max="15366" width="17.42578125" style="21" customWidth="1"/>
    <col min="15367" max="15367" width="12.42578125" style="21" customWidth="1"/>
    <col min="15368" max="15368" width="12.85546875" style="21" customWidth="1"/>
    <col min="15369" max="15369" width="12.7109375" style="21" customWidth="1"/>
    <col min="15370" max="15370" width="14" style="21" customWidth="1"/>
    <col min="15371" max="15371" width="13.5703125" style="21" customWidth="1"/>
    <col min="15372" max="15372" width="11.85546875" style="21" customWidth="1"/>
    <col min="15373" max="15616" width="9.140625" style="21"/>
    <col min="15617" max="15617" width="4.7109375" style="21" customWidth="1"/>
    <col min="15618" max="15618" width="16.85546875" style="21" customWidth="1"/>
    <col min="15619" max="15619" width="11.7109375" style="21" customWidth="1"/>
    <col min="15620" max="15620" width="11" style="21" customWidth="1"/>
    <col min="15621" max="15621" width="12.140625" style="21" customWidth="1"/>
    <col min="15622" max="15622" width="17.42578125" style="21" customWidth="1"/>
    <col min="15623" max="15623" width="12.42578125" style="21" customWidth="1"/>
    <col min="15624" max="15624" width="12.85546875" style="21" customWidth="1"/>
    <col min="15625" max="15625" width="12.7109375" style="21" customWidth="1"/>
    <col min="15626" max="15626" width="14" style="21" customWidth="1"/>
    <col min="15627" max="15627" width="13.5703125" style="21" customWidth="1"/>
    <col min="15628" max="15628" width="11.85546875" style="21" customWidth="1"/>
    <col min="15629" max="15872" width="9.140625" style="21"/>
    <col min="15873" max="15873" width="4.7109375" style="21" customWidth="1"/>
    <col min="15874" max="15874" width="16.85546875" style="21" customWidth="1"/>
    <col min="15875" max="15875" width="11.7109375" style="21" customWidth="1"/>
    <col min="15876" max="15876" width="11" style="21" customWidth="1"/>
    <col min="15877" max="15877" width="12.140625" style="21" customWidth="1"/>
    <col min="15878" max="15878" width="17.42578125" style="21" customWidth="1"/>
    <col min="15879" max="15879" width="12.42578125" style="21" customWidth="1"/>
    <col min="15880" max="15880" width="12.85546875" style="21" customWidth="1"/>
    <col min="15881" max="15881" width="12.7109375" style="21" customWidth="1"/>
    <col min="15882" max="15882" width="14" style="21" customWidth="1"/>
    <col min="15883" max="15883" width="13.5703125" style="21" customWidth="1"/>
    <col min="15884" max="15884" width="11.85546875" style="21" customWidth="1"/>
    <col min="15885" max="16128" width="9.140625" style="21"/>
    <col min="16129" max="16129" width="4.7109375" style="21" customWidth="1"/>
    <col min="16130" max="16130" width="16.85546875" style="21" customWidth="1"/>
    <col min="16131" max="16131" width="11.7109375" style="21" customWidth="1"/>
    <col min="16132" max="16132" width="11" style="21" customWidth="1"/>
    <col min="16133" max="16133" width="12.140625" style="21" customWidth="1"/>
    <col min="16134" max="16134" width="17.42578125" style="21" customWidth="1"/>
    <col min="16135" max="16135" width="12.42578125" style="21" customWidth="1"/>
    <col min="16136" max="16136" width="12.85546875" style="21" customWidth="1"/>
    <col min="16137" max="16137" width="12.7109375" style="21" customWidth="1"/>
    <col min="16138" max="16138" width="14" style="21" customWidth="1"/>
    <col min="16139" max="16139" width="13.5703125" style="21" customWidth="1"/>
    <col min="16140" max="16140" width="11.85546875" style="21" customWidth="1"/>
    <col min="16141" max="16384" width="9.140625" style="21"/>
  </cols>
  <sheetData>
    <row r="1" spans="1:20" ht="15" customHeight="1" x14ac:dyDescent="0.25">
      <c r="C1" s="1096"/>
      <c r="D1" s="1096"/>
      <c r="E1" s="1096"/>
      <c r="F1" s="1096"/>
      <c r="G1" s="1096"/>
      <c r="H1" s="1096"/>
      <c r="I1" s="290"/>
      <c r="J1" s="1501" t="s">
        <v>519</v>
      </c>
      <c r="K1" s="1501"/>
    </row>
    <row r="2" spans="1:20" s="24" customFormat="1" ht="19.5" customHeight="1" x14ac:dyDescent="0.2">
      <c r="A2" s="1549" t="s">
        <v>0</v>
      </c>
      <c r="B2" s="1549"/>
      <c r="C2" s="1549"/>
      <c r="D2" s="1549"/>
      <c r="E2" s="1549"/>
      <c r="F2" s="1549"/>
      <c r="G2" s="1549"/>
      <c r="H2" s="1549"/>
      <c r="I2" s="1549"/>
      <c r="J2" s="1549"/>
      <c r="K2" s="1549"/>
    </row>
    <row r="3" spans="1:20" s="24" customFormat="1" ht="19.5" customHeight="1" x14ac:dyDescent="0.2">
      <c r="A3" s="1550" t="s">
        <v>493</v>
      </c>
      <c r="B3" s="1550"/>
      <c r="C3" s="1550"/>
      <c r="D3" s="1550"/>
      <c r="E3" s="1550"/>
      <c r="F3" s="1550"/>
      <c r="G3" s="1550"/>
      <c r="H3" s="1550"/>
      <c r="I3" s="1550"/>
      <c r="J3" s="1550"/>
      <c r="K3" s="1550"/>
    </row>
    <row r="4" spans="1:20" s="24" customFormat="1" ht="14.25" customHeight="1" x14ac:dyDescent="0.2">
      <c r="A4" s="31"/>
      <c r="B4" s="31"/>
      <c r="C4" s="31"/>
      <c r="D4" s="31"/>
      <c r="E4" s="517"/>
      <c r="F4" s="31"/>
      <c r="G4" s="31"/>
      <c r="H4" s="31"/>
      <c r="I4" s="31"/>
      <c r="J4" s="31"/>
      <c r="K4" s="31"/>
    </row>
    <row r="5" spans="1:20" s="24" customFormat="1" ht="18" customHeight="1" x14ac:dyDescent="0.2">
      <c r="A5" s="1467" t="s">
        <v>636</v>
      </c>
      <c r="B5" s="1467"/>
      <c r="C5" s="1467"/>
      <c r="D5" s="1467"/>
      <c r="E5" s="1467"/>
      <c r="F5" s="1467"/>
      <c r="G5" s="1467"/>
      <c r="H5" s="1467"/>
      <c r="I5" s="1467"/>
      <c r="J5" s="1467"/>
      <c r="K5" s="1467"/>
    </row>
    <row r="6" spans="1:20" ht="15.75" x14ac:dyDescent="0.25">
      <c r="A6" s="1218" t="s">
        <v>665</v>
      </c>
      <c r="B6" s="1218"/>
      <c r="C6" s="1218"/>
      <c r="D6" s="47"/>
      <c r="E6" s="518"/>
      <c r="F6" s="47"/>
      <c r="G6" s="47"/>
      <c r="H6" s="47"/>
      <c r="I6" s="47"/>
      <c r="J6" s="47"/>
      <c r="K6" s="47"/>
    </row>
    <row r="7" spans="1:20" ht="29.25" customHeight="1" x14ac:dyDescent="0.2">
      <c r="A7" s="1551" t="s">
        <v>66</v>
      </c>
      <c r="B7" s="1551" t="s">
        <v>67</v>
      </c>
      <c r="C7" s="1551" t="s">
        <v>68</v>
      </c>
      <c r="D7" s="1551" t="s">
        <v>145</v>
      </c>
      <c r="E7" s="1551"/>
      <c r="F7" s="1551"/>
      <c r="G7" s="1551"/>
      <c r="H7" s="1551"/>
      <c r="I7" s="1553" t="s">
        <v>226</v>
      </c>
      <c r="J7" s="1551" t="s">
        <v>69</v>
      </c>
      <c r="K7" s="1551" t="s">
        <v>461</v>
      </c>
      <c r="L7" s="1552" t="s">
        <v>70</v>
      </c>
      <c r="S7" s="23"/>
      <c r="T7" s="23"/>
    </row>
    <row r="8" spans="1:20" ht="33.75" customHeight="1" x14ac:dyDescent="0.2">
      <c r="A8" s="1551"/>
      <c r="B8" s="1551"/>
      <c r="C8" s="1551"/>
      <c r="D8" s="1551" t="s">
        <v>71</v>
      </c>
      <c r="E8" s="1551" t="s">
        <v>72</v>
      </c>
      <c r="F8" s="1551"/>
      <c r="G8" s="1551"/>
      <c r="H8" s="1553" t="s">
        <v>73</v>
      </c>
      <c r="I8" s="1555"/>
      <c r="J8" s="1551"/>
      <c r="K8" s="1551"/>
      <c r="L8" s="1552"/>
    </row>
    <row r="9" spans="1:20" ht="30" x14ac:dyDescent="0.2">
      <c r="A9" s="1551"/>
      <c r="B9" s="1551"/>
      <c r="C9" s="1551"/>
      <c r="D9" s="1551"/>
      <c r="E9" s="519" t="s">
        <v>74</v>
      </c>
      <c r="F9" s="519" t="s">
        <v>75</v>
      </c>
      <c r="G9" s="519" t="s">
        <v>13</v>
      </c>
      <c r="H9" s="1554"/>
      <c r="I9" s="1554"/>
      <c r="J9" s="1551"/>
      <c r="K9" s="1551"/>
      <c r="L9" s="1552"/>
    </row>
    <row r="10" spans="1:20" s="521" customFormat="1" ht="17.100000000000001" customHeight="1" x14ac:dyDescent="0.2">
      <c r="A10" s="520">
        <v>1</v>
      </c>
      <c r="B10" s="520">
        <v>2</v>
      </c>
      <c r="C10" s="520">
        <v>3</v>
      </c>
      <c r="D10" s="520">
        <v>4</v>
      </c>
      <c r="E10" s="520">
        <v>5</v>
      </c>
      <c r="F10" s="520">
        <v>6</v>
      </c>
      <c r="G10" s="520">
        <v>7</v>
      </c>
      <c r="H10" s="520">
        <v>8</v>
      </c>
      <c r="I10" s="520">
        <v>9</v>
      </c>
      <c r="J10" s="520">
        <v>10</v>
      </c>
      <c r="K10" s="520">
        <v>11</v>
      </c>
      <c r="L10" s="520">
        <v>12</v>
      </c>
    </row>
    <row r="11" spans="1:20" s="457" customFormat="1" ht="17.25" customHeight="1" x14ac:dyDescent="0.3">
      <c r="A11" s="491">
        <v>1</v>
      </c>
      <c r="B11" s="661" t="s">
        <v>520</v>
      </c>
      <c r="C11" s="662">
        <v>30</v>
      </c>
      <c r="D11" s="662">
        <v>6</v>
      </c>
      <c r="E11" s="662">
        <v>5</v>
      </c>
      <c r="F11" s="662">
        <v>4</v>
      </c>
      <c r="G11" s="662">
        <f>SUM(E11:F11)</f>
        <v>9</v>
      </c>
      <c r="H11" s="662">
        <f>D11+G11</f>
        <v>15</v>
      </c>
      <c r="I11" s="662">
        <v>15</v>
      </c>
      <c r="J11" s="662">
        <f>C11-H11</f>
        <v>15</v>
      </c>
      <c r="K11" s="662">
        <v>25</v>
      </c>
      <c r="L11" s="662"/>
    </row>
    <row r="12" spans="1:20" s="457" customFormat="1" ht="17.25" customHeight="1" x14ac:dyDescent="0.3">
      <c r="A12" s="491">
        <v>2</v>
      </c>
      <c r="B12" s="661" t="s">
        <v>521</v>
      </c>
      <c r="C12" s="662">
        <v>31</v>
      </c>
      <c r="D12" s="662">
        <v>25</v>
      </c>
      <c r="E12" s="662">
        <v>4</v>
      </c>
      <c r="F12" s="662">
        <v>2</v>
      </c>
      <c r="G12" s="662">
        <f t="shared" ref="G12:G22" si="0">SUM(E12:F12)</f>
        <v>6</v>
      </c>
      <c r="H12" s="662">
        <f t="shared" ref="H12:H21" si="1">D12+G12</f>
        <v>31</v>
      </c>
      <c r="I12" s="662">
        <v>0</v>
      </c>
      <c r="J12" s="662">
        <f t="shared" ref="J12:J22" si="2">C12-H12</f>
        <v>0</v>
      </c>
      <c r="K12" s="662">
        <v>0</v>
      </c>
      <c r="L12" s="662"/>
    </row>
    <row r="13" spans="1:20" s="457" customFormat="1" ht="17.25" customHeight="1" x14ac:dyDescent="0.3">
      <c r="A13" s="491">
        <v>3</v>
      </c>
      <c r="B13" s="661" t="s">
        <v>522</v>
      </c>
      <c r="C13" s="662">
        <v>30</v>
      </c>
      <c r="D13" s="662">
        <v>8</v>
      </c>
      <c r="E13" s="662">
        <v>4</v>
      </c>
      <c r="F13" s="662">
        <v>2</v>
      </c>
      <c r="G13" s="662">
        <f t="shared" si="0"/>
        <v>6</v>
      </c>
      <c r="H13" s="662">
        <f t="shared" si="1"/>
        <v>14</v>
      </c>
      <c r="I13" s="662">
        <v>16</v>
      </c>
      <c r="J13" s="662">
        <f t="shared" si="2"/>
        <v>16</v>
      </c>
      <c r="K13" s="662">
        <v>20</v>
      </c>
      <c r="L13" s="662"/>
    </row>
    <row r="14" spans="1:20" s="457" customFormat="1" ht="17.25" customHeight="1" x14ac:dyDescent="0.3">
      <c r="A14" s="491">
        <v>4</v>
      </c>
      <c r="B14" s="661" t="s">
        <v>523</v>
      </c>
      <c r="C14" s="662">
        <v>31</v>
      </c>
      <c r="D14" s="662"/>
      <c r="E14" s="662">
        <v>5</v>
      </c>
      <c r="F14" s="662">
        <v>1</v>
      </c>
      <c r="G14" s="662">
        <f t="shared" si="0"/>
        <v>6</v>
      </c>
      <c r="H14" s="662">
        <f t="shared" si="1"/>
        <v>6</v>
      </c>
      <c r="I14" s="662">
        <v>25</v>
      </c>
      <c r="J14" s="662">
        <f t="shared" si="2"/>
        <v>25</v>
      </c>
      <c r="K14" s="662">
        <v>31</v>
      </c>
      <c r="L14" s="662"/>
    </row>
    <row r="15" spans="1:20" s="457" customFormat="1" ht="17.25" customHeight="1" x14ac:dyDescent="0.3">
      <c r="A15" s="491">
        <v>5</v>
      </c>
      <c r="B15" s="661" t="s">
        <v>524</v>
      </c>
      <c r="C15" s="662">
        <v>31</v>
      </c>
      <c r="D15" s="662"/>
      <c r="E15" s="662">
        <v>4</v>
      </c>
      <c r="F15" s="662">
        <v>5</v>
      </c>
      <c r="G15" s="662">
        <f t="shared" si="0"/>
        <v>9</v>
      </c>
      <c r="H15" s="662">
        <f t="shared" si="1"/>
        <v>9</v>
      </c>
      <c r="I15" s="662">
        <v>22</v>
      </c>
      <c r="J15" s="662">
        <f t="shared" si="2"/>
        <v>22</v>
      </c>
      <c r="K15" s="662">
        <v>31</v>
      </c>
      <c r="L15" s="662"/>
    </row>
    <row r="16" spans="1:20" s="663" customFormat="1" ht="17.25" customHeight="1" x14ac:dyDescent="0.2">
      <c r="A16" s="491">
        <v>6</v>
      </c>
      <c r="B16" s="661" t="s">
        <v>525</v>
      </c>
      <c r="C16" s="491">
        <v>30</v>
      </c>
      <c r="D16" s="491"/>
      <c r="E16" s="491">
        <v>4</v>
      </c>
      <c r="F16" s="491">
        <v>3</v>
      </c>
      <c r="G16" s="662">
        <f t="shared" si="0"/>
        <v>7</v>
      </c>
      <c r="H16" s="662">
        <f t="shared" si="1"/>
        <v>7</v>
      </c>
      <c r="I16" s="491">
        <v>23</v>
      </c>
      <c r="J16" s="662">
        <f t="shared" si="2"/>
        <v>23</v>
      </c>
      <c r="K16" s="491">
        <v>30</v>
      </c>
      <c r="L16" s="491"/>
    </row>
    <row r="17" spans="1:13" s="663" customFormat="1" ht="17.25" customHeight="1" x14ac:dyDescent="0.2">
      <c r="A17" s="491">
        <v>7</v>
      </c>
      <c r="B17" s="661" t="s">
        <v>526</v>
      </c>
      <c r="C17" s="491">
        <v>31</v>
      </c>
      <c r="D17" s="491">
        <v>10</v>
      </c>
      <c r="E17" s="491">
        <v>5</v>
      </c>
      <c r="F17" s="491">
        <v>3</v>
      </c>
      <c r="G17" s="662">
        <f t="shared" si="0"/>
        <v>8</v>
      </c>
      <c r="H17" s="662">
        <f t="shared" si="1"/>
        <v>18</v>
      </c>
      <c r="I17" s="491">
        <v>13</v>
      </c>
      <c r="J17" s="662">
        <f t="shared" si="2"/>
        <v>13</v>
      </c>
      <c r="K17" s="491">
        <v>23</v>
      </c>
      <c r="L17" s="491"/>
    </row>
    <row r="18" spans="1:13" s="663" customFormat="1" ht="17.25" customHeight="1" x14ac:dyDescent="0.2">
      <c r="A18" s="491">
        <v>8</v>
      </c>
      <c r="B18" s="661" t="s">
        <v>527</v>
      </c>
      <c r="C18" s="491">
        <v>30</v>
      </c>
      <c r="D18" s="491"/>
      <c r="E18" s="491">
        <v>4</v>
      </c>
      <c r="F18" s="491">
        <v>2</v>
      </c>
      <c r="G18" s="662">
        <f t="shared" si="0"/>
        <v>6</v>
      </c>
      <c r="H18" s="662">
        <f t="shared" si="1"/>
        <v>6</v>
      </c>
      <c r="I18" s="491">
        <v>24</v>
      </c>
      <c r="J18" s="662">
        <f t="shared" si="2"/>
        <v>24</v>
      </c>
      <c r="K18" s="491">
        <v>30</v>
      </c>
      <c r="L18" s="491"/>
    </row>
    <row r="19" spans="1:13" s="663" customFormat="1" ht="17.25" customHeight="1" x14ac:dyDescent="0.2">
      <c r="A19" s="491">
        <v>9</v>
      </c>
      <c r="B19" s="661" t="s">
        <v>528</v>
      </c>
      <c r="C19" s="491">
        <v>31</v>
      </c>
      <c r="D19" s="491"/>
      <c r="E19" s="491">
        <v>5</v>
      </c>
      <c r="F19" s="491">
        <v>3</v>
      </c>
      <c r="G19" s="662">
        <f t="shared" si="0"/>
        <v>8</v>
      </c>
      <c r="H19" s="662">
        <f t="shared" si="1"/>
        <v>8</v>
      </c>
      <c r="I19" s="491">
        <v>23</v>
      </c>
      <c r="J19" s="662">
        <f t="shared" si="2"/>
        <v>23</v>
      </c>
      <c r="K19" s="491">
        <v>30</v>
      </c>
      <c r="L19" s="491"/>
    </row>
    <row r="20" spans="1:13" s="663" customFormat="1" ht="17.25" customHeight="1" x14ac:dyDescent="0.2">
      <c r="A20" s="664">
        <v>10</v>
      </c>
      <c r="B20" s="665" t="s">
        <v>529</v>
      </c>
      <c r="C20" s="664">
        <v>31</v>
      </c>
      <c r="D20" s="664">
        <v>10</v>
      </c>
      <c r="E20" s="491">
        <v>4</v>
      </c>
      <c r="F20" s="491">
        <v>4</v>
      </c>
      <c r="G20" s="662">
        <f t="shared" si="0"/>
        <v>8</v>
      </c>
      <c r="H20" s="662">
        <f t="shared" si="1"/>
        <v>18</v>
      </c>
      <c r="I20" s="664">
        <v>13</v>
      </c>
      <c r="J20" s="662">
        <f t="shared" si="2"/>
        <v>13</v>
      </c>
      <c r="K20" s="664">
        <v>23</v>
      </c>
      <c r="L20" s="664"/>
    </row>
    <row r="21" spans="1:13" s="663" customFormat="1" ht="17.25" customHeight="1" x14ac:dyDescent="0.2">
      <c r="A21" s="664">
        <v>11</v>
      </c>
      <c r="B21" s="665" t="s">
        <v>530</v>
      </c>
      <c r="C21" s="664">
        <v>28</v>
      </c>
      <c r="D21" s="666"/>
      <c r="E21" s="491">
        <v>4</v>
      </c>
      <c r="F21" s="491">
        <v>3</v>
      </c>
      <c r="G21" s="662">
        <f t="shared" si="0"/>
        <v>7</v>
      </c>
      <c r="H21" s="662">
        <f t="shared" si="1"/>
        <v>7</v>
      </c>
      <c r="I21" s="666">
        <v>21</v>
      </c>
      <c r="J21" s="662">
        <f t="shared" si="2"/>
        <v>21</v>
      </c>
      <c r="K21" s="664">
        <v>28</v>
      </c>
      <c r="L21" s="664"/>
    </row>
    <row r="22" spans="1:13" s="663" customFormat="1" ht="17.25" customHeight="1" x14ac:dyDescent="0.2">
      <c r="A22" s="664">
        <v>12</v>
      </c>
      <c r="B22" s="665" t="s">
        <v>531</v>
      </c>
      <c r="C22" s="664">
        <v>31</v>
      </c>
      <c r="D22" s="666"/>
      <c r="E22" s="491">
        <v>4</v>
      </c>
      <c r="F22" s="491">
        <v>2</v>
      </c>
      <c r="G22" s="662">
        <f t="shared" si="0"/>
        <v>6</v>
      </c>
      <c r="H22" s="662">
        <f>D22+G22</f>
        <v>6</v>
      </c>
      <c r="I22" s="666">
        <v>25</v>
      </c>
      <c r="J22" s="662">
        <f t="shared" si="2"/>
        <v>25</v>
      </c>
      <c r="K22" s="664">
        <v>31</v>
      </c>
      <c r="L22" s="664"/>
    </row>
    <row r="23" spans="1:13" s="25" customFormat="1" ht="17.25" customHeight="1" x14ac:dyDescent="0.2">
      <c r="A23" s="26"/>
      <c r="B23" s="27" t="s">
        <v>13</v>
      </c>
      <c r="C23" s="519">
        <f>SUM(C11:C22)</f>
        <v>365</v>
      </c>
      <c r="D23" s="519">
        <f t="shared" ref="D23:K23" si="3">SUM(D11:D22)</f>
        <v>59</v>
      </c>
      <c r="E23" s="519">
        <f t="shared" si="3"/>
        <v>52</v>
      </c>
      <c r="F23" s="519">
        <f t="shared" si="3"/>
        <v>34</v>
      </c>
      <c r="G23" s="519">
        <f t="shared" si="3"/>
        <v>86</v>
      </c>
      <c r="H23" s="519">
        <f>SUM(H11:H22)</f>
        <v>145</v>
      </c>
      <c r="I23" s="519">
        <v>220</v>
      </c>
      <c r="J23" s="519">
        <f t="shared" si="3"/>
        <v>220</v>
      </c>
      <c r="K23" s="519">
        <f t="shared" si="3"/>
        <v>302</v>
      </c>
      <c r="L23" s="519"/>
    </row>
    <row r="24" spans="1:13" s="25" customFormat="1" ht="11.25" customHeight="1" x14ac:dyDescent="0.2">
      <c r="A24" s="28"/>
      <c r="B24" s="29"/>
      <c r="C24" s="30"/>
      <c r="D24" s="28"/>
      <c r="E24" s="522"/>
      <c r="F24" s="28"/>
      <c r="G24" s="28"/>
      <c r="H24" s="28"/>
      <c r="I24" s="28"/>
      <c r="J24" s="28"/>
      <c r="K24" s="28"/>
    </row>
    <row r="26" spans="1:13" s="227" customFormat="1" ht="60" customHeight="1" x14ac:dyDescent="0.2">
      <c r="A26" s="1332" t="s">
        <v>676</v>
      </c>
      <c r="B26" s="1332"/>
      <c r="C26" s="234"/>
      <c r="D26" s="235"/>
      <c r="E26" s="235"/>
      <c r="J26" s="1415" t="s">
        <v>646</v>
      </c>
      <c r="K26" s="1415"/>
      <c r="L26" s="1415"/>
      <c r="M26" s="1415"/>
    </row>
  </sheetData>
  <mergeCells count="19">
    <mergeCell ref="A6:C6"/>
    <mergeCell ref="A26:B26"/>
    <mergeCell ref="J26:M26"/>
    <mergeCell ref="K7:K9"/>
    <mergeCell ref="L7:L9"/>
    <mergeCell ref="D8:D9"/>
    <mergeCell ref="E8:G8"/>
    <mergeCell ref="H8:H9"/>
    <mergeCell ref="A7:A9"/>
    <mergeCell ref="B7:B9"/>
    <mergeCell ref="C7:C9"/>
    <mergeCell ref="D7:H7"/>
    <mergeCell ref="I7:I9"/>
    <mergeCell ref="J7:J9"/>
    <mergeCell ref="C1:H1"/>
    <mergeCell ref="J1:K1"/>
    <mergeCell ref="A2:K2"/>
    <mergeCell ref="A3:K3"/>
    <mergeCell ref="A5:K5"/>
  </mergeCells>
  <printOptions horizontalCentered="1"/>
  <pageMargins left="0.47244094488188981" right="7.874015748031496E-2" top="0.23622047244094491" bottom="0.15748031496062992" header="7.874015748031496E-2" footer="7.874015748031496E-2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5" tint="0.59999389629810485"/>
    <pageSetUpPr fitToPage="1"/>
  </sheetPr>
  <dimension ref="A1:S27"/>
  <sheetViews>
    <sheetView view="pageBreakPreview" zoomScaleSheetLayoutView="100" workbookViewId="0">
      <selection activeCell="C32" sqref="C32"/>
    </sheetView>
  </sheetViews>
  <sheetFormatPr defaultColWidth="9.140625" defaultRowHeight="14.25" x14ac:dyDescent="0.2"/>
  <cols>
    <col min="1" max="1" width="5.28515625" style="21" customWidth="1"/>
    <col min="2" max="2" width="14.7109375" style="21" customWidth="1"/>
    <col min="3" max="3" width="11.7109375" style="21" customWidth="1"/>
    <col min="4" max="4" width="12" style="21" customWidth="1"/>
    <col min="5" max="5" width="11.85546875" style="21" customWidth="1"/>
    <col min="6" max="6" width="18.85546875" style="21" customWidth="1"/>
    <col min="7" max="7" width="10.140625" style="21" customWidth="1"/>
    <col min="8" max="8" width="13.5703125" style="21" customWidth="1"/>
    <col min="9" max="10" width="14.7109375" style="21" customWidth="1"/>
    <col min="11" max="11" width="11.85546875" style="21" customWidth="1"/>
    <col min="12" max="16384" width="9.140625" style="21"/>
  </cols>
  <sheetData>
    <row r="1" spans="1:19" ht="15" customHeight="1" x14ac:dyDescent="0.25">
      <c r="C1" s="1096"/>
      <c r="D1" s="1096"/>
      <c r="E1" s="1096"/>
      <c r="F1" s="1096"/>
      <c r="G1" s="1096"/>
      <c r="H1" s="1096"/>
      <c r="I1" s="60"/>
      <c r="J1" s="16" t="s">
        <v>532</v>
      </c>
    </row>
    <row r="2" spans="1:19" s="24" customFormat="1" ht="19.5" customHeight="1" x14ac:dyDescent="0.2">
      <c r="A2" s="1549" t="s">
        <v>0</v>
      </c>
      <c r="B2" s="1549"/>
      <c r="C2" s="1549"/>
      <c r="D2" s="1549"/>
      <c r="E2" s="1549"/>
      <c r="F2" s="1549"/>
      <c r="G2" s="1549"/>
      <c r="H2" s="1549"/>
      <c r="I2" s="1549"/>
      <c r="J2" s="1549"/>
    </row>
    <row r="3" spans="1:19" s="24" customFormat="1" ht="19.5" customHeight="1" x14ac:dyDescent="0.2">
      <c r="A3" s="1550" t="s">
        <v>493</v>
      </c>
      <c r="B3" s="1550"/>
      <c r="C3" s="1550"/>
      <c r="D3" s="1550"/>
      <c r="E3" s="1550"/>
      <c r="F3" s="1550"/>
      <c r="G3" s="1550"/>
      <c r="H3" s="1550"/>
      <c r="I3" s="1550"/>
      <c r="J3" s="1550"/>
    </row>
    <row r="4" spans="1:19" s="24" customFormat="1" ht="14.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9" s="24" customFormat="1" ht="18" customHeight="1" x14ac:dyDescent="0.2">
      <c r="A5" s="1467" t="s">
        <v>637</v>
      </c>
      <c r="B5" s="1467"/>
      <c r="C5" s="1467"/>
      <c r="D5" s="1467"/>
      <c r="E5" s="1467"/>
      <c r="F5" s="1467"/>
      <c r="G5" s="1467"/>
      <c r="H5" s="1467"/>
      <c r="I5" s="1467"/>
      <c r="J5" s="1467"/>
    </row>
    <row r="6" spans="1:19" ht="15.75" x14ac:dyDescent="0.25">
      <c r="A6" s="1218" t="s">
        <v>665</v>
      </c>
      <c r="B6" s="1218"/>
      <c r="C6" s="1218"/>
      <c r="D6" s="57"/>
      <c r="E6" s="57"/>
      <c r="F6" s="57"/>
      <c r="G6" s="57"/>
      <c r="H6" s="57"/>
      <c r="I6" s="59"/>
      <c r="J6" s="59"/>
    </row>
    <row r="7" spans="1:19" ht="29.25" customHeight="1" x14ac:dyDescent="0.2">
      <c r="A7" s="1551" t="s">
        <v>66</v>
      </c>
      <c r="B7" s="1551" t="s">
        <v>67</v>
      </c>
      <c r="C7" s="1551" t="s">
        <v>68</v>
      </c>
      <c r="D7" s="1551" t="s">
        <v>146</v>
      </c>
      <c r="E7" s="1551"/>
      <c r="F7" s="1551"/>
      <c r="G7" s="1551"/>
      <c r="H7" s="1551"/>
      <c r="I7" s="1553" t="s">
        <v>226</v>
      </c>
      <c r="J7" s="1551" t="s">
        <v>69</v>
      </c>
      <c r="K7" s="1551" t="s">
        <v>210</v>
      </c>
    </row>
    <row r="8" spans="1:19" ht="34.15" customHeight="1" x14ac:dyDescent="0.2">
      <c r="A8" s="1551"/>
      <c r="B8" s="1551"/>
      <c r="C8" s="1551"/>
      <c r="D8" s="1551" t="s">
        <v>71</v>
      </c>
      <c r="E8" s="1551" t="s">
        <v>72</v>
      </c>
      <c r="F8" s="1551"/>
      <c r="G8" s="1551"/>
      <c r="H8" s="1553" t="s">
        <v>73</v>
      </c>
      <c r="I8" s="1555"/>
      <c r="J8" s="1551"/>
      <c r="K8" s="1551"/>
      <c r="R8" s="23"/>
      <c r="S8" s="23"/>
    </row>
    <row r="9" spans="1:19" ht="33.75" customHeight="1" x14ac:dyDescent="0.2">
      <c r="A9" s="1551"/>
      <c r="B9" s="1551"/>
      <c r="C9" s="1551"/>
      <c r="D9" s="1551"/>
      <c r="E9" s="519" t="s">
        <v>74</v>
      </c>
      <c r="F9" s="519" t="s">
        <v>75</v>
      </c>
      <c r="G9" s="519" t="s">
        <v>13</v>
      </c>
      <c r="H9" s="1554"/>
      <c r="I9" s="1554"/>
      <c r="J9" s="1551"/>
      <c r="K9" s="1551"/>
    </row>
    <row r="10" spans="1:19" s="25" customFormat="1" ht="17.100000000000001" customHeight="1" x14ac:dyDescent="0.2">
      <c r="A10" s="519">
        <v>1</v>
      </c>
      <c r="B10" s="519">
        <v>2</v>
      </c>
      <c r="C10" s="519">
        <v>3</v>
      </c>
      <c r="D10" s="519">
        <v>4</v>
      </c>
      <c r="E10" s="519">
        <v>5</v>
      </c>
      <c r="F10" s="519">
        <v>6</v>
      </c>
      <c r="G10" s="519">
        <v>7</v>
      </c>
      <c r="H10" s="519">
        <v>8</v>
      </c>
      <c r="I10" s="519">
        <v>9</v>
      </c>
      <c r="J10" s="519">
        <v>10</v>
      </c>
      <c r="K10" s="519">
        <v>11</v>
      </c>
    </row>
    <row r="11" spans="1:19" s="457" customFormat="1" ht="17.100000000000001" customHeight="1" x14ac:dyDescent="0.3">
      <c r="A11" s="491">
        <v>1</v>
      </c>
      <c r="B11" s="661" t="s">
        <v>520</v>
      </c>
      <c r="C11" s="662">
        <v>30</v>
      </c>
      <c r="D11" s="662">
        <v>6</v>
      </c>
      <c r="E11" s="662">
        <v>5</v>
      </c>
      <c r="F11" s="662">
        <v>4</v>
      </c>
      <c r="G11" s="662">
        <f>SUM(E11:F11)</f>
        <v>9</v>
      </c>
      <c r="H11" s="662">
        <f>D11+G11</f>
        <v>15</v>
      </c>
      <c r="I11" s="662">
        <v>15</v>
      </c>
      <c r="J11" s="662">
        <f>C11-H11</f>
        <v>15</v>
      </c>
      <c r="K11" s="662"/>
    </row>
    <row r="12" spans="1:19" s="457" customFormat="1" ht="17.100000000000001" customHeight="1" x14ac:dyDescent="0.3">
      <c r="A12" s="491">
        <v>2</v>
      </c>
      <c r="B12" s="661" t="s">
        <v>521</v>
      </c>
      <c r="C12" s="662">
        <v>31</v>
      </c>
      <c r="D12" s="662">
        <v>25</v>
      </c>
      <c r="E12" s="662">
        <v>4</v>
      </c>
      <c r="F12" s="662">
        <v>2</v>
      </c>
      <c r="G12" s="662">
        <f t="shared" ref="G12:G22" si="0">SUM(E12:F12)</f>
        <v>6</v>
      </c>
      <c r="H12" s="662">
        <f t="shared" ref="H12:H22" si="1">D12+G12</f>
        <v>31</v>
      </c>
      <c r="I12" s="662">
        <v>0</v>
      </c>
      <c r="J12" s="662">
        <f t="shared" ref="J12:J22" si="2">C12-H12</f>
        <v>0</v>
      </c>
      <c r="K12" s="662"/>
    </row>
    <row r="13" spans="1:19" s="457" customFormat="1" ht="17.100000000000001" customHeight="1" x14ac:dyDescent="0.3">
      <c r="A13" s="664">
        <v>3</v>
      </c>
      <c r="B13" s="665" t="s">
        <v>522</v>
      </c>
      <c r="C13" s="667">
        <v>30</v>
      </c>
      <c r="D13" s="662">
        <v>8</v>
      </c>
      <c r="E13" s="662">
        <v>4</v>
      </c>
      <c r="F13" s="662">
        <v>2</v>
      </c>
      <c r="G13" s="662">
        <f t="shared" si="0"/>
        <v>6</v>
      </c>
      <c r="H13" s="662">
        <f t="shared" si="1"/>
        <v>14</v>
      </c>
      <c r="I13" s="667">
        <v>16</v>
      </c>
      <c r="J13" s="662">
        <f t="shared" si="2"/>
        <v>16</v>
      </c>
      <c r="K13" s="667"/>
    </row>
    <row r="14" spans="1:19" s="457" customFormat="1" ht="17.100000000000001" customHeight="1" x14ac:dyDescent="0.3">
      <c r="A14" s="664">
        <v>4</v>
      </c>
      <c r="B14" s="665" t="s">
        <v>523</v>
      </c>
      <c r="C14" s="667">
        <v>31</v>
      </c>
      <c r="D14" s="667"/>
      <c r="E14" s="662">
        <v>5</v>
      </c>
      <c r="F14" s="662">
        <v>1</v>
      </c>
      <c r="G14" s="662">
        <f t="shared" si="0"/>
        <v>6</v>
      </c>
      <c r="H14" s="662">
        <f t="shared" si="1"/>
        <v>6</v>
      </c>
      <c r="I14" s="667">
        <v>25</v>
      </c>
      <c r="J14" s="662">
        <f t="shared" si="2"/>
        <v>25</v>
      </c>
      <c r="K14" s="667"/>
    </row>
    <row r="15" spans="1:19" s="457" customFormat="1" ht="17.100000000000001" customHeight="1" x14ac:dyDescent="0.3">
      <c r="A15" s="664">
        <v>5</v>
      </c>
      <c r="B15" s="665" t="s">
        <v>524</v>
      </c>
      <c r="C15" s="667">
        <v>31</v>
      </c>
      <c r="D15" s="667"/>
      <c r="E15" s="662">
        <v>4</v>
      </c>
      <c r="F15" s="662">
        <v>5</v>
      </c>
      <c r="G15" s="662">
        <f t="shared" si="0"/>
        <v>9</v>
      </c>
      <c r="H15" s="662">
        <f t="shared" si="1"/>
        <v>9</v>
      </c>
      <c r="I15" s="667">
        <v>22</v>
      </c>
      <c r="J15" s="662">
        <f t="shared" si="2"/>
        <v>22</v>
      </c>
      <c r="K15" s="667"/>
    </row>
    <row r="16" spans="1:19" s="663" customFormat="1" ht="17.100000000000001" customHeight="1" x14ac:dyDescent="0.2">
      <c r="A16" s="664">
        <v>6</v>
      </c>
      <c r="B16" s="665" t="s">
        <v>525</v>
      </c>
      <c r="C16" s="664">
        <v>30</v>
      </c>
      <c r="D16" s="664"/>
      <c r="E16" s="491">
        <v>4</v>
      </c>
      <c r="F16" s="491">
        <v>3</v>
      </c>
      <c r="G16" s="662">
        <f t="shared" si="0"/>
        <v>7</v>
      </c>
      <c r="H16" s="662">
        <f t="shared" si="1"/>
        <v>7</v>
      </c>
      <c r="I16" s="664">
        <v>23</v>
      </c>
      <c r="J16" s="662">
        <f t="shared" si="2"/>
        <v>23</v>
      </c>
      <c r="K16" s="664"/>
    </row>
    <row r="17" spans="1:12" s="663" customFormat="1" ht="17.100000000000001" customHeight="1" x14ac:dyDescent="0.2">
      <c r="A17" s="664">
        <v>7</v>
      </c>
      <c r="B17" s="665" t="s">
        <v>526</v>
      </c>
      <c r="C17" s="664">
        <v>31</v>
      </c>
      <c r="D17" s="664">
        <v>10</v>
      </c>
      <c r="E17" s="491">
        <v>5</v>
      </c>
      <c r="F17" s="491">
        <v>3</v>
      </c>
      <c r="G17" s="662">
        <f t="shared" si="0"/>
        <v>8</v>
      </c>
      <c r="H17" s="662">
        <f t="shared" si="1"/>
        <v>18</v>
      </c>
      <c r="I17" s="664">
        <v>13</v>
      </c>
      <c r="J17" s="662">
        <f t="shared" si="2"/>
        <v>13</v>
      </c>
      <c r="K17" s="664"/>
    </row>
    <row r="18" spans="1:12" s="663" customFormat="1" ht="17.100000000000001" customHeight="1" x14ac:dyDescent="0.2">
      <c r="A18" s="664">
        <v>8</v>
      </c>
      <c r="B18" s="665" t="s">
        <v>527</v>
      </c>
      <c r="C18" s="664">
        <v>30</v>
      </c>
      <c r="D18" s="664"/>
      <c r="E18" s="491">
        <v>4</v>
      </c>
      <c r="F18" s="491">
        <v>2</v>
      </c>
      <c r="G18" s="662">
        <f t="shared" si="0"/>
        <v>6</v>
      </c>
      <c r="H18" s="662">
        <f t="shared" si="1"/>
        <v>6</v>
      </c>
      <c r="I18" s="664">
        <v>24</v>
      </c>
      <c r="J18" s="662">
        <f t="shared" si="2"/>
        <v>24</v>
      </c>
      <c r="K18" s="664"/>
    </row>
    <row r="19" spans="1:12" s="663" customFormat="1" ht="17.100000000000001" customHeight="1" x14ac:dyDescent="0.2">
      <c r="A19" s="664">
        <v>9</v>
      </c>
      <c r="B19" s="665" t="s">
        <v>528</v>
      </c>
      <c r="C19" s="664">
        <v>31</v>
      </c>
      <c r="D19" s="664"/>
      <c r="E19" s="491">
        <v>5</v>
      </c>
      <c r="F19" s="491">
        <v>3</v>
      </c>
      <c r="G19" s="662">
        <f t="shared" si="0"/>
        <v>8</v>
      </c>
      <c r="H19" s="662">
        <f t="shared" si="1"/>
        <v>8</v>
      </c>
      <c r="I19" s="664">
        <v>23</v>
      </c>
      <c r="J19" s="662">
        <f t="shared" si="2"/>
        <v>23</v>
      </c>
      <c r="K19" s="664"/>
    </row>
    <row r="20" spans="1:12" s="663" customFormat="1" ht="17.100000000000001" customHeight="1" x14ac:dyDescent="0.2">
      <c r="A20" s="664">
        <v>10</v>
      </c>
      <c r="B20" s="665" t="s">
        <v>529</v>
      </c>
      <c r="C20" s="664">
        <v>31</v>
      </c>
      <c r="D20" s="664">
        <v>10</v>
      </c>
      <c r="E20" s="491">
        <v>4</v>
      </c>
      <c r="F20" s="491">
        <v>4</v>
      </c>
      <c r="G20" s="662">
        <f t="shared" si="0"/>
        <v>8</v>
      </c>
      <c r="H20" s="662">
        <f t="shared" si="1"/>
        <v>18</v>
      </c>
      <c r="I20" s="664">
        <v>13</v>
      </c>
      <c r="J20" s="662">
        <f t="shared" si="2"/>
        <v>13</v>
      </c>
      <c r="K20" s="664"/>
    </row>
    <row r="21" spans="1:12" s="663" customFormat="1" ht="17.100000000000001" customHeight="1" x14ac:dyDescent="0.2">
      <c r="A21" s="664">
        <v>11</v>
      </c>
      <c r="B21" s="665" t="s">
        <v>530</v>
      </c>
      <c r="C21" s="664">
        <v>28</v>
      </c>
      <c r="D21" s="666"/>
      <c r="E21" s="491">
        <v>4</v>
      </c>
      <c r="F21" s="491">
        <v>3</v>
      </c>
      <c r="G21" s="662">
        <f t="shared" si="0"/>
        <v>7</v>
      </c>
      <c r="H21" s="662">
        <f t="shared" si="1"/>
        <v>7</v>
      </c>
      <c r="I21" s="666">
        <v>21</v>
      </c>
      <c r="J21" s="662">
        <f t="shared" si="2"/>
        <v>21</v>
      </c>
      <c r="K21" s="664"/>
    </row>
    <row r="22" spans="1:12" s="663" customFormat="1" ht="17.100000000000001" customHeight="1" x14ac:dyDescent="0.2">
      <c r="A22" s="664">
        <v>12</v>
      </c>
      <c r="B22" s="665" t="s">
        <v>531</v>
      </c>
      <c r="C22" s="664">
        <v>31</v>
      </c>
      <c r="D22" s="666"/>
      <c r="E22" s="491">
        <v>4</v>
      </c>
      <c r="F22" s="491">
        <v>2</v>
      </c>
      <c r="G22" s="662">
        <f t="shared" si="0"/>
        <v>6</v>
      </c>
      <c r="H22" s="662">
        <f t="shared" si="1"/>
        <v>6</v>
      </c>
      <c r="I22" s="666">
        <v>25</v>
      </c>
      <c r="J22" s="662">
        <f t="shared" si="2"/>
        <v>25</v>
      </c>
      <c r="K22" s="664"/>
    </row>
    <row r="23" spans="1:12" s="663" customFormat="1" ht="17.100000000000001" customHeight="1" x14ac:dyDescent="0.2">
      <c r="A23" s="665"/>
      <c r="B23" s="668" t="s">
        <v>13</v>
      </c>
      <c r="C23" s="601">
        <f>SUM(C11:C22)</f>
        <v>365</v>
      </c>
      <c r="D23" s="601">
        <f t="shared" ref="D23:J23" si="3">SUM(D11:D22)</f>
        <v>59</v>
      </c>
      <c r="E23" s="601">
        <f t="shared" si="3"/>
        <v>52</v>
      </c>
      <c r="F23" s="601">
        <f t="shared" si="3"/>
        <v>34</v>
      </c>
      <c r="G23" s="601">
        <f t="shared" si="3"/>
        <v>86</v>
      </c>
      <c r="H23" s="601">
        <f t="shared" si="3"/>
        <v>145</v>
      </c>
      <c r="I23" s="601">
        <v>220</v>
      </c>
      <c r="J23" s="601">
        <f t="shared" si="3"/>
        <v>220</v>
      </c>
      <c r="K23" s="601"/>
    </row>
    <row r="24" spans="1:12" s="25" customFormat="1" ht="11.25" customHeight="1" x14ac:dyDescent="0.2">
      <c r="A24" s="28"/>
      <c r="B24" s="29"/>
      <c r="C24" s="30"/>
      <c r="D24" s="28"/>
      <c r="E24" s="28"/>
      <c r="F24" s="28"/>
      <c r="G24" s="28"/>
      <c r="H24" s="28"/>
      <c r="I24" s="28"/>
      <c r="J24" s="28"/>
    </row>
    <row r="27" spans="1:12" s="227" customFormat="1" ht="60" customHeight="1" x14ac:dyDescent="0.2">
      <c r="A27" s="1332" t="s">
        <v>676</v>
      </c>
      <c r="B27" s="1332"/>
      <c r="C27" s="234"/>
      <c r="D27" s="235"/>
      <c r="E27" s="235"/>
      <c r="I27" s="1415" t="s">
        <v>646</v>
      </c>
      <c r="J27" s="1415"/>
      <c r="K27" s="1415"/>
      <c r="L27" s="501"/>
    </row>
  </sheetData>
  <mergeCells count="17">
    <mergeCell ref="C1:H1"/>
    <mergeCell ref="A2:J2"/>
    <mergeCell ref="A3:J3"/>
    <mergeCell ref="A5:J5"/>
    <mergeCell ref="A6:C6"/>
    <mergeCell ref="I7:I9"/>
    <mergeCell ref="A27:B27"/>
    <mergeCell ref="I27:K27"/>
    <mergeCell ref="K7:K9"/>
    <mergeCell ref="H8:H9"/>
    <mergeCell ref="A7:A9"/>
    <mergeCell ref="B7:B9"/>
    <mergeCell ref="C7:C9"/>
    <mergeCell ref="D7:H7"/>
    <mergeCell ref="J7:J9"/>
    <mergeCell ref="D8:D9"/>
    <mergeCell ref="E8:G8"/>
  </mergeCells>
  <phoneticPr fontId="0" type="noConversion"/>
  <printOptions horizontalCentered="1"/>
  <pageMargins left="0.59055118110236227" right="7.874015748031496E-2" top="0.27559055118110237" bottom="0.19685039370078741" header="7.874015748031496E-2" footer="7.874015748031496E-2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5" tint="0.59999389629810485"/>
  </sheetPr>
  <dimension ref="A1:R27"/>
  <sheetViews>
    <sheetView view="pageBreakPreview" topLeftCell="A8" zoomScale="70" zoomScaleSheetLayoutView="70" workbookViewId="0">
      <selection activeCell="M25" sqref="M25"/>
    </sheetView>
  </sheetViews>
  <sheetFormatPr defaultColWidth="9.140625" defaultRowHeight="12.75" x14ac:dyDescent="0.2"/>
  <cols>
    <col min="1" max="1" width="5.5703125" style="78" customWidth="1"/>
    <col min="2" max="2" width="14.7109375" style="78" customWidth="1"/>
    <col min="3" max="3" width="10.7109375" style="78" customWidth="1"/>
    <col min="4" max="4" width="9.5703125" style="78" customWidth="1"/>
    <col min="5" max="6" width="9.85546875" style="78" customWidth="1"/>
    <col min="7" max="7" width="10.85546875" style="78" customWidth="1"/>
    <col min="8" max="8" width="9.85546875" style="78" customWidth="1"/>
    <col min="9" max="9" width="14.5703125" style="75" customWidth="1"/>
    <col min="10" max="10" width="13.85546875" style="75" customWidth="1"/>
    <col min="11" max="11" width="8" style="75" customWidth="1"/>
    <col min="12" max="12" width="8.140625" style="75" customWidth="1"/>
    <col min="13" max="13" width="12.140625" style="75" customWidth="1"/>
    <col min="14" max="18" width="8.140625" style="75" customWidth="1"/>
    <col min="19" max="16384" width="9.140625" style="75"/>
  </cols>
  <sheetData>
    <row r="1" spans="1:18" ht="15" x14ac:dyDescent="0.2">
      <c r="G1" s="1146"/>
      <c r="H1" s="1146"/>
      <c r="I1" s="1146"/>
      <c r="J1" s="78"/>
      <c r="K1" s="78"/>
      <c r="L1" s="78"/>
      <c r="M1" s="78"/>
      <c r="N1" s="78"/>
      <c r="O1" s="78"/>
      <c r="P1" s="1560" t="s">
        <v>533</v>
      </c>
      <c r="Q1" s="1560"/>
      <c r="R1" s="78"/>
    </row>
    <row r="2" spans="1:18" ht="15.75" x14ac:dyDescent="0.25">
      <c r="A2" s="1148" t="s">
        <v>0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  <c r="O2" s="1148"/>
      <c r="P2" s="1148"/>
      <c r="Q2" s="1148"/>
      <c r="R2" s="1148"/>
    </row>
    <row r="3" spans="1:18" ht="18" x14ac:dyDescent="0.25">
      <c r="A3" s="1562" t="s">
        <v>793</v>
      </c>
      <c r="B3" s="1562"/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  <c r="O3" s="1562"/>
      <c r="P3" s="1562"/>
      <c r="Q3" s="1562"/>
      <c r="R3" s="1562"/>
    </row>
    <row r="4" spans="1:18" ht="12.75" customHeight="1" x14ac:dyDescent="0.2">
      <c r="A4" s="1561" t="s">
        <v>854</v>
      </c>
      <c r="B4" s="1561"/>
      <c r="C4" s="1561"/>
      <c r="D4" s="1561"/>
      <c r="E4" s="1561"/>
      <c r="F4" s="1561"/>
      <c r="G4" s="1561"/>
      <c r="H4" s="1561"/>
      <c r="I4" s="1561"/>
      <c r="J4" s="1561"/>
      <c r="K4" s="1561"/>
      <c r="L4" s="1561"/>
      <c r="M4" s="1561"/>
      <c r="N4" s="1561"/>
      <c r="O4" s="1561"/>
      <c r="P4" s="1561"/>
      <c r="Q4" s="1561"/>
      <c r="R4" s="1561"/>
    </row>
    <row r="5" spans="1:18" s="76" customFormat="1" ht="7.5" customHeight="1" x14ac:dyDescent="0.2">
      <c r="A5" s="1561"/>
      <c r="B5" s="1561"/>
      <c r="C5" s="1561"/>
      <c r="D5" s="1561"/>
      <c r="E5" s="1561"/>
      <c r="F5" s="1561"/>
      <c r="G5" s="1561"/>
      <c r="H5" s="1561"/>
      <c r="I5" s="1561"/>
      <c r="J5" s="1561"/>
      <c r="K5" s="1561"/>
      <c r="L5" s="1561"/>
      <c r="M5" s="1561"/>
      <c r="N5" s="1561"/>
      <c r="O5" s="1561"/>
      <c r="P5" s="1561"/>
      <c r="Q5" s="1561"/>
      <c r="R5" s="1561"/>
    </row>
    <row r="6" spans="1:18" x14ac:dyDescent="0.2">
      <c r="A6" s="1563"/>
      <c r="B6" s="1563"/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</row>
    <row r="7" spans="1:18" x14ac:dyDescent="0.2">
      <c r="A7" s="524" t="s">
        <v>665</v>
      </c>
      <c r="B7" s="524"/>
      <c r="H7" s="305"/>
      <c r="I7" s="78"/>
      <c r="J7" s="78"/>
      <c r="K7" s="78"/>
      <c r="L7" s="1564"/>
      <c r="M7" s="1564"/>
      <c r="N7" s="1564"/>
      <c r="O7" s="1564"/>
      <c r="P7" s="1564"/>
      <c r="Q7" s="1564"/>
      <c r="R7" s="1564"/>
    </row>
    <row r="8" spans="1:18" ht="30.75" customHeight="1" x14ac:dyDescent="0.2">
      <c r="A8" s="1482" t="s">
        <v>2</v>
      </c>
      <c r="B8" s="1482" t="s">
        <v>3</v>
      </c>
      <c r="C8" s="1565" t="s">
        <v>470</v>
      </c>
      <c r="D8" s="1480"/>
      <c r="E8" s="1480"/>
      <c r="F8" s="1480"/>
      <c r="G8" s="1481"/>
      <c r="H8" s="1566" t="s">
        <v>76</v>
      </c>
      <c r="I8" s="1565" t="s">
        <v>77</v>
      </c>
      <c r="J8" s="1480"/>
      <c r="K8" s="1480"/>
      <c r="L8" s="1481"/>
      <c r="M8" s="1558" t="s">
        <v>855</v>
      </c>
      <c r="N8" s="1558"/>
      <c r="O8" s="1558"/>
      <c r="P8" s="1558"/>
      <c r="Q8" s="1558"/>
      <c r="R8" s="1558"/>
    </row>
    <row r="9" spans="1:18" ht="44.45" customHeight="1" x14ac:dyDescent="0.2">
      <c r="A9" s="1482"/>
      <c r="B9" s="1482"/>
      <c r="C9" s="82" t="s">
        <v>5</v>
      </c>
      <c r="D9" s="82" t="s">
        <v>6</v>
      </c>
      <c r="E9" s="82" t="s">
        <v>339</v>
      </c>
      <c r="F9" s="526" t="s">
        <v>91</v>
      </c>
      <c r="G9" s="526" t="s">
        <v>211</v>
      </c>
      <c r="H9" s="1567"/>
      <c r="I9" s="82" t="s">
        <v>165</v>
      </c>
      <c r="J9" s="82" t="s">
        <v>107</v>
      </c>
      <c r="K9" s="82" t="s">
        <v>108</v>
      </c>
      <c r="L9" s="82" t="s">
        <v>421</v>
      </c>
      <c r="M9" s="846" t="s">
        <v>13</v>
      </c>
      <c r="N9" s="943" t="s">
        <v>856</v>
      </c>
      <c r="O9" s="943" t="s">
        <v>857</v>
      </c>
      <c r="P9" s="943" t="s">
        <v>858</v>
      </c>
      <c r="Q9" s="943" t="s">
        <v>859</v>
      </c>
      <c r="R9" s="943" t="s">
        <v>860</v>
      </c>
    </row>
    <row r="10" spans="1:18" s="77" customFormat="1" x14ac:dyDescent="0.2">
      <c r="A10" s="306">
        <v>1</v>
      </c>
      <c r="B10" s="306">
        <v>2</v>
      </c>
      <c r="C10" s="306">
        <v>3</v>
      </c>
      <c r="D10" s="306">
        <v>4</v>
      </c>
      <c r="E10" s="306">
        <v>5</v>
      </c>
      <c r="F10" s="306">
        <v>6</v>
      </c>
      <c r="G10" s="306">
        <v>7</v>
      </c>
      <c r="H10" s="306">
        <v>8</v>
      </c>
      <c r="I10" s="306">
        <v>9</v>
      </c>
      <c r="J10" s="306">
        <v>10</v>
      </c>
      <c r="K10" s="306">
        <v>11</v>
      </c>
      <c r="L10" s="306">
        <v>12</v>
      </c>
      <c r="M10" s="306">
        <v>13</v>
      </c>
      <c r="N10" s="306">
        <v>14</v>
      </c>
      <c r="O10" s="306">
        <v>15</v>
      </c>
      <c r="P10" s="306">
        <v>16</v>
      </c>
      <c r="Q10" s="306">
        <v>17</v>
      </c>
      <c r="R10" s="306">
        <v>18</v>
      </c>
    </row>
    <row r="11" spans="1:18" ht="31.5" customHeight="1" x14ac:dyDescent="0.2">
      <c r="A11" s="486">
        <v>1</v>
      </c>
      <c r="B11" s="487" t="s">
        <v>647</v>
      </c>
      <c r="C11" s="530">
        <v>106365</v>
      </c>
      <c r="D11" s="530">
        <v>1231</v>
      </c>
      <c r="E11" s="530">
        <v>0</v>
      </c>
      <c r="F11" s="530">
        <v>0</v>
      </c>
      <c r="G11" s="530">
        <f>C11+D11+E11+F11</f>
        <v>107596</v>
      </c>
      <c r="H11" s="531">
        <v>220</v>
      </c>
      <c r="I11" s="539">
        <f>J11</f>
        <v>2367.1120000000001</v>
      </c>
      <c r="J11" s="539">
        <f>G11*H11*0.0001</f>
        <v>2367.1120000000001</v>
      </c>
      <c r="K11" s="538">
        <v>0</v>
      </c>
      <c r="L11" s="538">
        <v>0</v>
      </c>
      <c r="M11" s="538">
        <f>G11*H11*0.00002</f>
        <v>473.42240000000004</v>
      </c>
      <c r="N11" s="1556" t="s">
        <v>894</v>
      </c>
      <c r="O11" s="1556"/>
      <c r="P11" s="1556"/>
      <c r="Q11" s="1556"/>
      <c r="R11" s="1556"/>
    </row>
    <row r="12" spans="1:18" ht="31.5" customHeight="1" x14ac:dyDescent="0.2">
      <c r="A12" s="486">
        <v>2</v>
      </c>
      <c r="B12" s="487" t="s">
        <v>648</v>
      </c>
      <c r="C12" s="530">
        <v>84934</v>
      </c>
      <c r="D12" s="530">
        <v>3187</v>
      </c>
      <c r="E12" s="530">
        <v>0</v>
      </c>
      <c r="F12" s="530">
        <v>0</v>
      </c>
      <c r="G12" s="530">
        <f t="shared" ref="G12:G22" si="0">C12+D12+E12+F12</f>
        <v>88121</v>
      </c>
      <c r="H12" s="531">
        <v>220</v>
      </c>
      <c r="I12" s="539">
        <f t="shared" ref="I12:I23" si="1">J12</f>
        <v>1938.662</v>
      </c>
      <c r="J12" s="539">
        <f t="shared" ref="J12:J23" si="2">G12*H12*0.0001</f>
        <v>1938.662</v>
      </c>
      <c r="K12" s="538">
        <v>0</v>
      </c>
      <c r="L12" s="538">
        <v>0</v>
      </c>
      <c r="M12" s="538">
        <f t="shared" ref="M12:M23" si="3">G12*H12*0.00002</f>
        <v>387.73240000000004</v>
      </c>
      <c r="N12" s="1556"/>
      <c r="O12" s="1556"/>
      <c r="P12" s="1556"/>
      <c r="Q12" s="1556"/>
      <c r="R12" s="1556"/>
    </row>
    <row r="13" spans="1:18" ht="31.5" customHeight="1" x14ac:dyDescent="0.2">
      <c r="A13" s="486">
        <v>3</v>
      </c>
      <c r="B13" s="487" t="s">
        <v>649</v>
      </c>
      <c r="C13" s="530">
        <v>125036</v>
      </c>
      <c r="D13" s="530">
        <v>6519</v>
      </c>
      <c r="E13" s="530">
        <v>0</v>
      </c>
      <c r="F13" s="530">
        <v>581</v>
      </c>
      <c r="G13" s="530">
        <f t="shared" si="0"/>
        <v>132136</v>
      </c>
      <c r="H13" s="531">
        <v>220</v>
      </c>
      <c r="I13" s="539">
        <f t="shared" si="1"/>
        <v>2906.9920000000002</v>
      </c>
      <c r="J13" s="539">
        <f t="shared" si="2"/>
        <v>2906.9920000000002</v>
      </c>
      <c r="K13" s="538">
        <v>0</v>
      </c>
      <c r="L13" s="538">
        <v>0</v>
      </c>
      <c r="M13" s="538">
        <f t="shared" si="3"/>
        <v>581.39840000000004</v>
      </c>
      <c r="N13" s="1556"/>
      <c r="O13" s="1556"/>
      <c r="P13" s="1556"/>
      <c r="Q13" s="1556"/>
      <c r="R13" s="1556"/>
    </row>
    <row r="14" spans="1:18" ht="31.5" customHeight="1" x14ac:dyDescent="0.2">
      <c r="A14" s="486">
        <v>4</v>
      </c>
      <c r="B14" s="487" t="s">
        <v>650</v>
      </c>
      <c r="C14" s="530">
        <v>160717</v>
      </c>
      <c r="D14" s="530">
        <v>9047</v>
      </c>
      <c r="E14" s="530">
        <v>0</v>
      </c>
      <c r="F14" s="530">
        <v>80</v>
      </c>
      <c r="G14" s="530">
        <f t="shared" si="0"/>
        <v>169844</v>
      </c>
      <c r="H14" s="531">
        <v>220</v>
      </c>
      <c r="I14" s="539">
        <f t="shared" si="1"/>
        <v>3736.5680000000002</v>
      </c>
      <c r="J14" s="539">
        <f t="shared" si="2"/>
        <v>3736.5680000000002</v>
      </c>
      <c r="K14" s="538">
        <v>0</v>
      </c>
      <c r="L14" s="538">
        <v>0</v>
      </c>
      <c r="M14" s="538">
        <f t="shared" si="3"/>
        <v>747.31360000000006</v>
      </c>
      <c r="N14" s="1556"/>
      <c r="O14" s="1556"/>
      <c r="P14" s="1556"/>
      <c r="Q14" s="1556"/>
      <c r="R14" s="1556"/>
    </row>
    <row r="15" spans="1:18" ht="31.5" customHeight="1" x14ac:dyDescent="0.2">
      <c r="A15" s="486">
        <v>5</v>
      </c>
      <c r="B15" s="487" t="s">
        <v>651</v>
      </c>
      <c r="C15" s="530">
        <v>113309</v>
      </c>
      <c r="D15" s="530">
        <v>9851</v>
      </c>
      <c r="E15" s="530">
        <v>0</v>
      </c>
      <c r="F15" s="530">
        <v>67</v>
      </c>
      <c r="G15" s="530">
        <f t="shared" si="0"/>
        <v>123227</v>
      </c>
      <c r="H15" s="531">
        <v>220</v>
      </c>
      <c r="I15" s="539">
        <f t="shared" si="1"/>
        <v>2710.9940000000001</v>
      </c>
      <c r="J15" s="539">
        <f t="shared" si="2"/>
        <v>2710.9940000000001</v>
      </c>
      <c r="K15" s="538">
        <v>0</v>
      </c>
      <c r="L15" s="538">
        <v>0</v>
      </c>
      <c r="M15" s="538">
        <f t="shared" si="3"/>
        <v>542.19880000000001</v>
      </c>
      <c r="N15" s="1556"/>
      <c r="O15" s="1556"/>
      <c r="P15" s="1556"/>
      <c r="Q15" s="1556"/>
      <c r="R15" s="1556"/>
    </row>
    <row r="16" spans="1:18" ht="31.5" customHeight="1" x14ac:dyDescent="0.2">
      <c r="A16" s="486">
        <v>6</v>
      </c>
      <c r="B16" s="487" t="s">
        <v>652</v>
      </c>
      <c r="C16" s="530">
        <v>96182</v>
      </c>
      <c r="D16" s="530">
        <v>20301</v>
      </c>
      <c r="E16" s="530">
        <v>0</v>
      </c>
      <c r="F16" s="530">
        <v>406</v>
      </c>
      <c r="G16" s="530">
        <f t="shared" si="0"/>
        <v>116889</v>
      </c>
      <c r="H16" s="531">
        <v>220</v>
      </c>
      <c r="I16" s="539">
        <f t="shared" si="1"/>
        <v>2571.558</v>
      </c>
      <c r="J16" s="539">
        <f t="shared" si="2"/>
        <v>2571.558</v>
      </c>
      <c r="K16" s="538">
        <v>0</v>
      </c>
      <c r="L16" s="538">
        <v>0</v>
      </c>
      <c r="M16" s="538">
        <f t="shared" si="3"/>
        <v>514.3116</v>
      </c>
      <c r="N16" s="1556"/>
      <c r="O16" s="1556"/>
      <c r="P16" s="1556"/>
      <c r="Q16" s="1556"/>
      <c r="R16" s="1556"/>
    </row>
    <row r="17" spans="1:18" ht="31.5" customHeight="1" x14ac:dyDescent="0.2">
      <c r="A17" s="486">
        <v>7</v>
      </c>
      <c r="B17" s="487" t="s">
        <v>653</v>
      </c>
      <c r="C17" s="530">
        <v>141914</v>
      </c>
      <c r="D17" s="530">
        <v>15048</v>
      </c>
      <c r="E17" s="530">
        <v>0</v>
      </c>
      <c r="F17" s="530">
        <v>1345</v>
      </c>
      <c r="G17" s="530">
        <f t="shared" si="0"/>
        <v>158307</v>
      </c>
      <c r="H17" s="531">
        <v>220</v>
      </c>
      <c r="I17" s="539">
        <f t="shared" si="1"/>
        <v>3482.7540000000004</v>
      </c>
      <c r="J17" s="539">
        <f t="shared" si="2"/>
        <v>3482.7540000000004</v>
      </c>
      <c r="K17" s="538">
        <v>0</v>
      </c>
      <c r="L17" s="538">
        <v>0</v>
      </c>
      <c r="M17" s="538">
        <f t="shared" si="3"/>
        <v>696.55080000000009</v>
      </c>
      <c r="N17" s="1556"/>
      <c r="O17" s="1556"/>
      <c r="P17" s="1556"/>
      <c r="Q17" s="1556"/>
      <c r="R17" s="1556"/>
    </row>
    <row r="18" spans="1:18" ht="31.5" customHeight="1" x14ac:dyDescent="0.2">
      <c r="A18" s="486">
        <v>8</v>
      </c>
      <c r="B18" s="487" t="s">
        <v>654</v>
      </c>
      <c r="C18" s="530">
        <v>139035</v>
      </c>
      <c r="D18" s="530">
        <v>12708</v>
      </c>
      <c r="E18" s="530">
        <v>0</v>
      </c>
      <c r="F18" s="530">
        <v>243</v>
      </c>
      <c r="G18" s="530">
        <f t="shared" si="0"/>
        <v>151986</v>
      </c>
      <c r="H18" s="531">
        <v>220</v>
      </c>
      <c r="I18" s="539">
        <f t="shared" si="1"/>
        <v>3343.692</v>
      </c>
      <c r="J18" s="539">
        <f t="shared" si="2"/>
        <v>3343.692</v>
      </c>
      <c r="K18" s="538">
        <v>0</v>
      </c>
      <c r="L18" s="538">
        <v>0</v>
      </c>
      <c r="M18" s="538">
        <f t="shared" si="3"/>
        <v>668.73840000000007</v>
      </c>
      <c r="N18" s="1556"/>
      <c r="O18" s="1556"/>
      <c r="P18" s="1556"/>
      <c r="Q18" s="1556"/>
      <c r="R18" s="1556"/>
    </row>
    <row r="19" spans="1:18" ht="31.5" customHeight="1" x14ac:dyDescent="0.2">
      <c r="A19" s="486">
        <v>9</v>
      </c>
      <c r="B19" s="487" t="s">
        <v>655</v>
      </c>
      <c r="C19" s="530">
        <v>108631</v>
      </c>
      <c r="D19" s="530">
        <v>4772</v>
      </c>
      <c r="E19" s="530">
        <v>0</v>
      </c>
      <c r="F19" s="530">
        <v>839</v>
      </c>
      <c r="G19" s="530">
        <f t="shared" si="0"/>
        <v>114242</v>
      </c>
      <c r="H19" s="531">
        <v>220</v>
      </c>
      <c r="I19" s="539">
        <f t="shared" si="1"/>
        <v>2513.3240000000001</v>
      </c>
      <c r="J19" s="539">
        <f t="shared" si="2"/>
        <v>2513.3240000000001</v>
      </c>
      <c r="K19" s="538">
        <v>0</v>
      </c>
      <c r="L19" s="538">
        <v>0</v>
      </c>
      <c r="M19" s="538">
        <f t="shared" si="3"/>
        <v>502.66480000000001</v>
      </c>
      <c r="N19" s="1556"/>
      <c r="O19" s="1556"/>
      <c r="P19" s="1556"/>
      <c r="Q19" s="1556"/>
      <c r="R19" s="1556"/>
    </row>
    <row r="20" spans="1:18" ht="31.5" customHeight="1" x14ac:dyDescent="0.2">
      <c r="A20" s="486">
        <v>10</v>
      </c>
      <c r="B20" s="487" t="s">
        <v>656</v>
      </c>
      <c r="C20" s="530">
        <v>151398</v>
      </c>
      <c r="D20" s="530">
        <v>2346</v>
      </c>
      <c r="E20" s="530">
        <v>0</v>
      </c>
      <c r="F20" s="530">
        <v>197</v>
      </c>
      <c r="G20" s="530">
        <f t="shared" si="0"/>
        <v>153941</v>
      </c>
      <c r="H20" s="531">
        <v>220</v>
      </c>
      <c r="I20" s="539">
        <f t="shared" si="1"/>
        <v>3386.7020000000002</v>
      </c>
      <c r="J20" s="539">
        <f t="shared" si="2"/>
        <v>3386.7020000000002</v>
      </c>
      <c r="K20" s="538">
        <v>0</v>
      </c>
      <c r="L20" s="538">
        <v>0</v>
      </c>
      <c r="M20" s="538">
        <f t="shared" si="3"/>
        <v>677.34040000000005</v>
      </c>
      <c r="N20" s="1556"/>
      <c r="O20" s="1556"/>
      <c r="P20" s="1556"/>
      <c r="Q20" s="1556"/>
      <c r="R20" s="1556"/>
    </row>
    <row r="21" spans="1:18" ht="31.5" customHeight="1" x14ac:dyDescent="0.2">
      <c r="A21" s="486">
        <v>11</v>
      </c>
      <c r="B21" s="487" t="s">
        <v>657</v>
      </c>
      <c r="C21" s="530">
        <v>104539</v>
      </c>
      <c r="D21" s="530">
        <v>8296</v>
      </c>
      <c r="E21" s="530">
        <v>0</v>
      </c>
      <c r="F21" s="530">
        <v>2373</v>
      </c>
      <c r="G21" s="530">
        <f t="shared" si="0"/>
        <v>115208</v>
      </c>
      <c r="H21" s="531">
        <v>220</v>
      </c>
      <c r="I21" s="539">
        <f t="shared" si="1"/>
        <v>2534.576</v>
      </c>
      <c r="J21" s="539">
        <f t="shared" si="2"/>
        <v>2534.576</v>
      </c>
      <c r="K21" s="538">
        <v>0</v>
      </c>
      <c r="L21" s="538">
        <v>0</v>
      </c>
      <c r="M21" s="538">
        <f t="shared" si="3"/>
        <v>506.91520000000003</v>
      </c>
      <c r="N21" s="1556"/>
      <c r="O21" s="1556"/>
      <c r="P21" s="1556"/>
      <c r="Q21" s="1556"/>
      <c r="R21" s="1556"/>
    </row>
    <row r="22" spans="1:18" ht="31.5" customHeight="1" x14ac:dyDescent="0.2">
      <c r="A22" s="486">
        <v>12</v>
      </c>
      <c r="B22" s="487" t="s">
        <v>658</v>
      </c>
      <c r="C22" s="530">
        <v>156222</v>
      </c>
      <c r="D22" s="530">
        <v>2352</v>
      </c>
      <c r="E22" s="530">
        <v>0</v>
      </c>
      <c r="F22" s="530">
        <v>926</v>
      </c>
      <c r="G22" s="530">
        <f t="shared" si="0"/>
        <v>159500</v>
      </c>
      <c r="H22" s="531">
        <v>220</v>
      </c>
      <c r="I22" s="539">
        <f t="shared" si="1"/>
        <v>3509</v>
      </c>
      <c r="J22" s="539">
        <f t="shared" si="2"/>
        <v>3509</v>
      </c>
      <c r="K22" s="538">
        <v>0</v>
      </c>
      <c r="L22" s="538">
        <v>0</v>
      </c>
      <c r="M22" s="538">
        <f t="shared" si="3"/>
        <v>701.80000000000007</v>
      </c>
      <c r="N22" s="1556"/>
      <c r="O22" s="1556"/>
      <c r="P22" s="1556"/>
      <c r="Q22" s="1556"/>
      <c r="R22" s="1556"/>
    </row>
    <row r="23" spans="1:18" ht="31.5" customHeight="1" x14ac:dyDescent="0.2">
      <c r="A23" s="486">
        <v>13</v>
      </c>
      <c r="B23" s="487" t="s">
        <v>659</v>
      </c>
      <c r="C23" s="530">
        <v>188196</v>
      </c>
      <c r="D23" s="530">
        <v>11906</v>
      </c>
      <c r="E23" s="530">
        <v>0</v>
      </c>
      <c r="F23" s="530">
        <v>4122</v>
      </c>
      <c r="G23" s="530">
        <f>C23+D23+E23+F23</f>
        <v>204224</v>
      </c>
      <c r="H23" s="531">
        <v>220</v>
      </c>
      <c r="I23" s="539">
        <f t="shared" si="1"/>
        <v>4492.9279999999999</v>
      </c>
      <c r="J23" s="539">
        <f t="shared" si="2"/>
        <v>4492.9279999999999</v>
      </c>
      <c r="K23" s="538">
        <v>0</v>
      </c>
      <c r="L23" s="538">
        <v>0</v>
      </c>
      <c r="M23" s="538">
        <f t="shared" si="3"/>
        <v>898.58560000000011</v>
      </c>
      <c r="N23" s="1556"/>
      <c r="O23" s="1556"/>
      <c r="P23" s="1556"/>
      <c r="Q23" s="1556"/>
      <c r="R23" s="1556"/>
    </row>
    <row r="24" spans="1:18" s="77" customFormat="1" ht="31.5" customHeight="1" x14ac:dyDescent="0.2">
      <c r="A24" s="1400" t="s">
        <v>660</v>
      </c>
      <c r="B24" s="1402"/>
      <c r="C24" s="866">
        <f>SUM(C11:C23)</f>
        <v>1676478</v>
      </c>
      <c r="D24" s="866">
        <f t="shared" ref="D24:F24" si="4">SUM(D11:D23)</f>
        <v>107564</v>
      </c>
      <c r="E24" s="866">
        <f t="shared" si="4"/>
        <v>0</v>
      </c>
      <c r="F24" s="866">
        <f t="shared" si="4"/>
        <v>11179</v>
      </c>
      <c r="G24" s="866">
        <f>SUM(G11:G23)</f>
        <v>1795221</v>
      </c>
      <c r="H24" s="909" t="s">
        <v>7</v>
      </c>
      <c r="I24" s="959">
        <f>SUM(I11:I23)</f>
        <v>39494.862000000008</v>
      </c>
      <c r="J24" s="959">
        <f>SUM(J11:J23)</f>
        <v>39494.862000000008</v>
      </c>
      <c r="K24" s="960">
        <f>SUM(K11:K23)</f>
        <v>0</v>
      </c>
      <c r="L24" s="960">
        <f t="shared" ref="L24" si="5">SUM(L11:L23)</f>
        <v>0</v>
      </c>
      <c r="M24" s="960">
        <f>SUM(M11:M23)</f>
        <v>7898.9724000000015</v>
      </c>
      <c r="N24" s="960"/>
      <c r="O24" s="960"/>
      <c r="P24" s="960"/>
      <c r="Q24" s="960"/>
      <c r="R24" s="960"/>
    </row>
    <row r="25" spans="1:18" ht="15" x14ac:dyDescent="0.2">
      <c r="A25" s="80"/>
      <c r="B25" s="80"/>
      <c r="C25" s="80"/>
      <c r="D25" s="80"/>
      <c r="E25" s="80"/>
      <c r="F25" s="80"/>
      <c r="G25" s="773"/>
      <c r="H25" s="80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15" x14ac:dyDescent="0.2">
      <c r="A26" s="81"/>
      <c r="B26" s="81"/>
      <c r="C26" s="81"/>
      <c r="G26" s="774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s="78" customFormat="1" ht="72.75" customHeight="1" x14ac:dyDescent="0.2">
      <c r="A27" s="1557" t="s">
        <v>702</v>
      </c>
      <c r="B27" s="1557"/>
      <c r="C27" s="527"/>
      <c r="D27" s="528"/>
      <c r="E27" s="528"/>
      <c r="F27" s="529"/>
      <c r="G27" s="529"/>
      <c r="M27" s="1559" t="s">
        <v>701</v>
      </c>
      <c r="N27" s="1559"/>
      <c r="O27" s="1559"/>
      <c r="P27" s="1559"/>
      <c r="Q27" s="1559"/>
      <c r="R27" s="1559"/>
    </row>
  </sheetData>
  <mergeCells count="17">
    <mergeCell ref="A6:R6"/>
    <mergeCell ref="L7:R7"/>
    <mergeCell ref="A8:A9"/>
    <mergeCell ref="B8:B9"/>
    <mergeCell ref="C8:G8"/>
    <mergeCell ref="H8:H9"/>
    <mergeCell ref="I8:L8"/>
    <mergeCell ref="P1:Q1"/>
    <mergeCell ref="A4:R5"/>
    <mergeCell ref="A2:R2"/>
    <mergeCell ref="A3:R3"/>
    <mergeCell ref="G1:I1"/>
    <mergeCell ref="N11:R23"/>
    <mergeCell ref="A24:B24"/>
    <mergeCell ref="A27:B27"/>
    <mergeCell ref="M8:R8"/>
    <mergeCell ref="M27:R27"/>
  </mergeCells>
  <phoneticPr fontId="0" type="noConversion"/>
  <printOptions horizontalCentered="1"/>
  <pageMargins left="0.55118110236220474" right="0.11811023622047245" top="0.19685039370078741" bottom="0.15748031496062992" header="7.874015748031496E-2" footer="7.874015748031496E-2"/>
  <pageSetup paperSize="9" scale="8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5" tint="0.59999389629810485"/>
  </sheetPr>
  <dimension ref="A1:R27"/>
  <sheetViews>
    <sheetView view="pageBreakPreview" topLeftCell="A8" zoomScale="70" zoomScaleSheetLayoutView="70" workbookViewId="0">
      <selection activeCell="M24" sqref="M24"/>
    </sheetView>
  </sheetViews>
  <sheetFormatPr defaultColWidth="9.140625" defaultRowHeight="12.75" x14ac:dyDescent="0.2"/>
  <cols>
    <col min="1" max="1" width="5.5703125" style="78" customWidth="1"/>
    <col min="2" max="2" width="14.7109375" style="78" customWidth="1"/>
    <col min="3" max="3" width="10.85546875" style="78" customWidth="1"/>
    <col min="4" max="4" width="8.42578125" style="78" customWidth="1"/>
    <col min="5" max="6" width="9.85546875" style="78" customWidth="1"/>
    <col min="7" max="7" width="10.85546875" style="78" customWidth="1"/>
    <col min="8" max="8" width="9.85546875" style="78" customWidth="1"/>
    <col min="9" max="9" width="13.28515625" style="75" customWidth="1"/>
    <col min="10" max="10" width="13.85546875" style="75" customWidth="1"/>
    <col min="11" max="11" width="8" style="75" customWidth="1"/>
    <col min="12" max="12" width="8.140625" style="75" customWidth="1"/>
    <col min="13" max="13" width="12.140625" style="75" customWidth="1"/>
    <col min="14" max="18" width="8.140625" style="75" customWidth="1"/>
    <col min="19" max="16384" width="9.140625" style="75"/>
  </cols>
  <sheetData>
    <row r="1" spans="1:18" ht="15" x14ac:dyDescent="0.2">
      <c r="G1" s="1146"/>
      <c r="H1" s="1146"/>
      <c r="I1" s="1146"/>
      <c r="J1" s="78"/>
      <c r="K1" s="78"/>
      <c r="L1" s="78"/>
      <c r="M1" s="78"/>
      <c r="N1" s="78"/>
      <c r="O1" s="78"/>
      <c r="P1" s="1560" t="s">
        <v>885</v>
      </c>
      <c r="Q1" s="1560"/>
      <c r="R1" s="78"/>
    </row>
    <row r="2" spans="1:18" ht="15.75" x14ac:dyDescent="0.25">
      <c r="A2" s="1148" t="s">
        <v>0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  <c r="O2" s="1148"/>
      <c r="P2" s="1148"/>
      <c r="Q2" s="1148"/>
      <c r="R2" s="1148"/>
    </row>
    <row r="3" spans="1:18" ht="18" x14ac:dyDescent="0.25">
      <c r="A3" s="1562" t="s">
        <v>793</v>
      </c>
      <c r="B3" s="1562"/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  <c r="O3" s="1562"/>
      <c r="P3" s="1562"/>
      <c r="Q3" s="1562"/>
      <c r="R3" s="1562"/>
    </row>
    <row r="4" spans="1:18" ht="12.75" customHeight="1" x14ac:dyDescent="0.2">
      <c r="A4" s="1561" t="s">
        <v>886</v>
      </c>
      <c r="B4" s="1561"/>
      <c r="C4" s="1561"/>
      <c r="D4" s="1561"/>
      <c r="E4" s="1561"/>
      <c r="F4" s="1561"/>
      <c r="G4" s="1561"/>
      <c r="H4" s="1561"/>
      <c r="I4" s="1561"/>
      <c r="J4" s="1561"/>
      <c r="K4" s="1561"/>
      <c r="L4" s="1561"/>
      <c r="M4" s="1561"/>
      <c r="N4" s="1561"/>
      <c r="O4" s="1561"/>
      <c r="P4" s="1561"/>
      <c r="Q4" s="1561"/>
      <c r="R4" s="1561"/>
    </row>
    <row r="5" spans="1:18" s="76" customFormat="1" ht="7.5" customHeight="1" x14ac:dyDescent="0.2">
      <c r="A5" s="1561"/>
      <c r="B5" s="1561"/>
      <c r="C5" s="1561"/>
      <c r="D5" s="1561"/>
      <c r="E5" s="1561"/>
      <c r="F5" s="1561"/>
      <c r="G5" s="1561"/>
      <c r="H5" s="1561"/>
      <c r="I5" s="1561"/>
      <c r="J5" s="1561"/>
      <c r="K5" s="1561"/>
      <c r="L5" s="1561"/>
      <c r="M5" s="1561"/>
      <c r="N5" s="1561"/>
      <c r="O5" s="1561"/>
      <c r="P5" s="1561"/>
      <c r="Q5" s="1561"/>
      <c r="R5" s="1561"/>
    </row>
    <row r="6" spans="1:18" x14ac:dyDescent="0.2">
      <c r="A6" s="1563"/>
      <c r="B6" s="1563"/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</row>
    <row r="7" spans="1:18" x14ac:dyDescent="0.2">
      <c r="A7" s="524" t="s">
        <v>665</v>
      </c>
      <c r="B7" s="524"/>
      <c r="H7" s="793"/>
      <c r="I7" s="78"/>
      <c r="J7" s="78"/>
      <c r="K7" s="78"/>
      <c r="L7" s="1564"/>
      <c r="M7" s="1564"/>
      <c r="N7" s="1564"/>
      <c r="O7" s="1564"/>
      <c r="P7" s="1564"/>
      <c r="Q7" s="1564"/>
      <c r="R7" s="1564"/>
    </row>
    <row r="8" spans="1:18" ht="30.75" customHeight="1" x14ac:dyDescent="0.2">
      <c r="A8" s="1482" t="s">
        <v>2</v>
      </c>
      <c r="B8" s="1482" t="s">
        <v>3</v>
      </c>
      <c r="C8" s="1565" t="s">
        <v>470</v>
      </c>
      <c r="D8" s="1480"/>
      <c r="E8" s="1480"/>
      <c r="F8" s="1480"/>
      <c r="G8" s="1481"/>
      <c r="H8" s="1566" t="s">
        <v>76</v>
      </c>
      <c r="I8" s="1565" t="s">
        <v>77</v>
      </c>
      <c r="J8" s="1480"/>
      <c r="K8" s="1480"/>
      <c r="L8" s="1481"/>
      <c r="M8" s="1565" t="s">
        <v>855</v>
      </c>
      <c r="N8" s="1480"/>
      <c r="O8" s="1480"/>
      <c r="P8" s="1480"/>
      <c r="Q8" s="1480"/>
      <c r="R8" s="1480"/>
    </row>
    <row r="9" spans="1:18" ht="44.45" customHeight="1" x14ac:dyDescent="0.2">
      <c r="A9" s="1482"/>
      <c r="B9" s="1482"/>
      <c r="C9" s="792" t="s">
        <v>5</v>
      </c>
      <c r="D9" s="792" t="s">
        <v>6</v>
      </c>
      <c r="E9" s="792" t="s">
        <v>339</v>
      </c>
      <c r="F9" s="794" t="s">
        <v>91</v>
      </c>
      <c r="G9" s="794" t="s">
        <v>211</v>
      </c>
      <c r="H9" s="1567"/>
      <c r="I9" s="846" t="s">
        <v>165</v>
      </c>
      <c r="J9" s="846" t="s">
        <v>107</v>
      </c>
      <c r="K9" s="846" t="s">
        <v>108</v>
      </c>
      <c r="L9" s="846" t="s">
        <v>421</v>
      </c>
      <c r="M9" s="846" t="s">
        <v>13</v>
      </c>
      <c r="N9" s="846" t="s">
        <v>856</v>
      </c>
      <c r="O9" s="846" t="s">
        <v>857</v>
      </c>
      <c r="P9" s="846" t="s">
        <v>858</v>
      </c>
      <c r="Q9" s="846" t="s">
        <v>859</v>
      </c>
      <c r="R9" s="846" t="s">
        <v>860</v>
      </c>
    </row>
    <row r="10" spans="1:18" s="77" customFormat="1" x14ac:dyDescent="0.2">
      <c r="A10" s="306">
        <v>1</v>
      </c>
      <c r="B10" s="306">
        <v>2</v>
      </c>
      <c r="C10" s="306">
        <v>3</v>
      </c>
      <c r="D10" s="306">
        <v>4</v>
      </c>
      <c r="E10" s="306">
        <v>5</v>
      </c>
      <c r="F10" s="306">
        <v>6</v>
      </c>
      <c r="G10" s="306">
        <v>7</v>
      </c>
      <c r="H10" s="306">
        <v>8</v>
      </c>
      <c r="I10" s="306">
        <v>9</v>
      </c>
      <c r="J10" s="306">
        <v>10</v>
      </c>
      <c r="K10" s="306">
        <v>11</v>
      </c>
      <c r="L10" s="306">
        <v>12</v>
      </c>
      <c r="M10" s="306">
        <v>13</v>
      </c>
      <c r="N10" s="306">
        <v>14</v>
      </c>
      <c r="O10" s="306">
        <v>15</v>
      </c>
      <c r="P10" s="306">
        <v>16</v>
      </c>
      <c r="Q10" s="306">
        <v>17</v>
      </c>
      <c r="R10" s="306">
        <v>18</v>
      </c>
    </row>
    <row r="11" spans="1:18" ht="31.5" customHeight="1" x14ac:dyDescent="0.2">
      <c r="A11" s="486">
        <v>1</v>
      </c>
      <c r="B11" s="487" t="s">
        <v>647</v>
      </c>
      <c r="C11" s="530">
        <v>70064</v>
      </c>
      <c r="D11" s="530">
        <v>314</v>
      </c>
      <c r="E11" s="530">
        <v>0</v>
      </c>
      <c r="F11" s="530">
        <v>0</v>
      </c>
      <c r="G11" s="530">
        <f>C11+D11+E11+F11</f>
        <v>70378</v>
      </c>
      <c r="H11" s="531">
        <v>220</v>
      </c>
      <c r="I11" s="539">
        <f>J11</f>
        <v>2322.4739999999997</v>
      </c>
      <c r="J11" s="539">
        <f>G11*H11*0.00015</f>
        <v>2322.4739999999997</v>
      </c>
      <c r="K11" s="538">
        <v>0</v>
      </c>
      <c r="L11" s="538">
        <v>0</v>
      </c>
      <c r="M11" s="538">
        <f>G11*H11*0.00003</f>
        <v>464.4948</v>
      </c>
      <c r="N11" s="1568" t="s">
        <v>894</v>
      </c>
      <c r="O11" s="1569"/>
      <c r="P11" s="1569"/>
      <c r="Q11" s="1569"/>
      <c r="R11" s="1570"/>
    </row>
    <row r="12" spans="1:18" ht="31.5" customHeight="1" x14ac:dyDescent="0.2">
      <c r="A12" s="486">
        <v>2</v>
      </c>
      <c r="B12" s="487" t="s">
        <v>648</v>
      </c>
      <c r="C12" s="530">
        <v>53903</v>
      </c>
      <c r="D12" s="530">
        <v>1890</v>
      </c>
      <c r="E12" s="530">
        <v>0</v>
      </c>
      <c r="F12" s="530">
        <v>0</v>
      </c>
      <c r="G12" s="530">
        <f t="shared" ref="G12:G22" si="0">C12+D12+E12+F12</f>
        <v>55793</v>
      </c>
      <c r="H12" s="531">
        <v>220</v>
      </c>
      <c r="I12" s="539">
        <f t="shared" ref="I12:I23" si="1">J12</f>
        <v>1841.1689999999999</v>
      </c>
      <c r="J12" s="539">
        <f t="shared" ref="J12:J23" si="2">G12*H12*0.00015</f>
        <v>1841.1689999999999</v>
      </c>
      <c r="K12" s="538">
        <v>0</v>
      </c>
      <c r="L12" s="538">
        <v>0</v>
      </c>
      <c r="M12" s="538">
        <f t="shared" ref="M12:M23" si="3">G12*H12*0.00003</f>
        <v>368.23380000000003</v>
      </c>
      <c r="N12" s="1571"/>
      <c r="O12" s="1572"/>
      <c r="P12" s="1572"/>
      <c r="Q12" s="1572"/>
      <c r="R12" s="1573"/>
    </row>
    <row r="13" spans="1:18" ht="31.5" customHeight="1" x14ac:dyDescent="0.2">
      <c r="A13" s="486">
        <v>3</v>
      </c>
      <c r="B13" s="487" t="s">
        <v>649</v>
      </c>
      <c r="C13" s="530">
        <v>69653</v>
      </c>
      <c r="D13" s="530">
        <v>5588</v>
      </c>
      <c r="E13" s="530">
        <v>0</v>
      </c>
      <c r="F13" s="530">
        <v>199</v>
      </c>
      <c r="G13" s="530">
        <f t="shared" si="0"/>
        <v>75440</v>
      </c>
      <c r="H13" s="531">
        <v>220</v>
      </c>
      <c r="I13" s="539">
        <f t="shared" si="1"/>
        <v>2489.52</v>
      </c>
      <c r="J13" s="539">
        <f t="shared" si="2"/>
        <v>2489.52</v>
      </c>
      <c r="K13" s="538">
        <v>0</v>
      </c>
      <c r="L13" s="538">
        <v>0</v>
      </c>
      <c r="M13" s="538">
        <f t="shared" si="3"/>
        <v>497.904</v>
      </c>
      <c r="N13" s="1571"/>
      <c r="O13" s="1572"/>
      <c r="P13" s="1572"/>
      <c r="Q13" s="1572"/>
      <c r="R13" s="1573"/>
    </row>
    <row r="14" spans="1:18" ht="31.5" customHeight="1" x14ac:dyDescent="0.2">
      <c r="A14" s="486">
        <v>4</v>
      </c>
      <c r="B14" s="487" t="s">
        <v>650</v>
      </c>
      <c r="C14" s="530">
        <v>121907</v>
      </c>
      <c r="D14" s="530">
        <v>7194</v>
      </c>
      <c r="E14" s="530">
        <v>0</v>
      </c>
      <c r="F14" s="530">
        <v>0</v>
      </c>
      <c r="G14" s="530">
        <f t="shared" si="0"/>
        <v>129101</v>
      </c>
      <c r="H14" s="531">
        <v>220</v>
      </c>
      <c r="I14" s="539">
        <f t="shared" si="1"/>
        <v>4260.3329999999996</v>
      </c>
      <c r="J14" s="539">
        <f t="shared" si="2"/>
        <v>4260.3329999999996</v>
      </c>
      <c r="K14" s="538">
        <v>0</v>
      </c>
      <c r="L14" s="538">
        <v>0</v>
      </c>
      <c r="M14" s="538">
        <f t="shared" si="3"/>
        <v>852.06659999999999</v>
      </c>
      <c r="N14" s="1571"/>
      <c r="O14" s="1572"/>
      <c r="P14" s="1572"/>
      <c r="Q14" s="1572"/>
      <c r="R14" s="1573"/>
    </row>
    <row r="15" spans="1:18" ht="31.5" customHeight="1" x14ac:dyDescent="0.2">
      <c r="A15" s="486">
        <v>5</v>
      </c>
      <c r="B15" s="487" t="s">
        <v>651</v>
      </c>
      <c r="C15" s="530">
        <v>88674</v>
      </c>
      <c r="D15" s="530">
        <v>5333</v>
      </c>
      <c r="E15" s="530">
        <v>0</v>
      </c>
      <c r="F15" s="530">
        <v>111</v>
      </c>
      <c r="G15" s="530">
        <f t="shared" si="0"/>
        <v>94118</v>
      </c>
      <c r="H15" s="531">
        <v>220</v>
      </c>
      <c r="I15" s="539">
        <f t="shared" si="1"/>
        <v>3105.8939999999998</v>
      </c>
      <c r="J15" s="539">
        <f t="shared" si="2"/>
        <v>3105.8939999999998</v>
      </c>
      <c r="K15" s="538">
        <v>0</v>
      </c>
      <c r="L15" s="538">
        <v>0</v>
      </c>
      <c r="M15" s="538">
        <f t="shared" si="3"/>
        <v>621.17880000000002</v>
      </c>
      <c r="N15" s="1571"/>
      <c r="O15" s="1572"/>
      <c r="P15" s="1572"/>
      <c r="Q15" s="1572"/>
      <c r="R15" s="1573"/>
    </row>
    <row r="16" spans="1:18" ht="31.5" customHeight="1" x14ac:dyDescent="0.2">
      <c r="A16" s="486">
        <v>6</v>
      </c>
      <c r="B16" s="487" t="s">
        <v>652</v>
      </c>
      <c r="C16" s="530">
        <v>72969</v>
      </c>
      <c r="D16" s="530">
        <v>10247</v>
      </c>
      <c r="E16" s="530">
        <v>0</v>
      </c>
      <c r="F16" s="530">
        <v>122</v>
      </c>
      <c r="G16" s="530">
        <f t="shared" si="0"/>
        <v>83338</v>
      </c>
      <c r="H16" s="531">
        <v>220</v>
      </c>
      <c r="I16" s="539">
        <f t="shared" si="1"/>
        <v>2750.1539999999995</v>
      </c>
      <c r="J16" s="539">
        <f t="shared" si="2"/>
        <v>2750.1539999999995</v>
      </c>
      <c r="K16" s="538">
        <v>0</v>
      </c>
      <c r="L16" s="538">
        <v>0</v>
      </c>
      <c r="M16" s="538">
        <f t="shared" si="3"/>
        <v>550.0308</v>
      </c>
      <c r="N16" s="1571"/>
      <c r="O16" s="1572"/>
      <c r="P16" s="1572"/>
      <c r="Q16" s="1572"/>
      <c r="R16" s="1573"/>
    </row>
    <row r="17" spans="1:18" ht="31.5" customHeight="1" x14ac:dyDescent="0.2">
      <c r="A17" s="486">
        <v>7</v>
      </c>
      <c r="B17" s="487" t="s">
        <v>653</v>
      </c>
      <c r="C17" s="530">
        <v>87579</v>
      </c>
      <c r="D17" s="530">
        <v>12316</v>
      </c>
      <c r="E17" s="530">
        <v>0</v>
      </c>
      <c r="F17" s="530">
        <v>146</v>
      </c>
      <c r="G17" s="530">
        <f t="shared" si="0"/>
        <v>100041</v>
      </c>
      <c r="H17" s="531">
        <v>220</v>
      </c>
      <c r="I17" s="539">
        <f t="shared" si="1"/>
        <v>3301.3529999999996</v>
      </c>
      <c r="J17" s="539">
        <f t="shared" si="2"/>
        <v>3301.3529999999996</v>
      </c>
      <c r="K17" s="538">
        <v>0</v>
      </c>
      <c r="L17" s="538">
        <v>0</v>
      </c>
      <c r="M17" s="538">
        <f t="shared" si="3"/>
        <v>660.27060000000006</v>
      </c>
      <c r="N17" s="1571"/>
      <c r="O17" s="1572"/>
      <c r="P17" s="1572"/>
      <c r="Q17" s="1572"/>
      <c r="R17" s="1573"/>
    </row>
    <row r="18" spans="1:18" ht="31.5" customHeight="1" x14ac:dyDescent="0.2">
      <c r="A18" s="486">
        <v>8</v>
      </c>
      <c r="B18" s="487" t="s">
        <v>654</v>
      </c>
      <c r="C18" s="530">
        <v>73383</v>
      </c>
      <c r="D18" s="530">
        <v>6330</v>
      </c>
      <c r="E18" s="530">
        <v>0</v>
      </c>
      <c r="F18" s="530">
        <v>48</v>
      </c>
      <c r="G18" s="530">
        <f t="shared" si="0"/>
        <v>79761</v>
      </c>
      <c r="H18" s="531">
        <v>220</v>
      </c>
      <c r="I18" s="539">
        <f t="shared" si="1"/>
        <v>2632.1129999999998</v>
      </c>
      <c r="J18" s="539">
        <f t="shared" si="2"/>
        <v>2632.1129999999998</v>
      </c>
      <c r="K18" s="538">
        <v>0</v>
      </c>
      <c r="L18" s="538">
        <v>0</v>
      </c>
      <c r="M18" s="538">
        <f t="shared" si="3"/>
        <v>526.42259999999999</v>
      </c>
      <c r="N18" s="1571"/>
      <c r="O18" s="1572"/>
      <c r="P18" s="1572"/>
      <c r="Q18" s="1572"/>
      <c r="R18" s="1573"/>
    </row>
    <row r="19" spans="1:18" ht="31.5" customHeight="1" x14ac:dyDescent="0.2">
      <c r="A19" s="486">
        <v>9</v>
      </c>
      <c r="B19" s="487" t="s">
        <v>655</v>
      </c>
      <c r="C19" s="530">
        <v>61448</v>
      </c>
      <c r="D19" s="530">
        <v>2847</v>
      </c>
      <c r="E19" s="530">
        <v>0</v>
      </c>
      <c r="F19" s="530">
        <v>153</v>
      </c>
      <c r="G19" s="530">
        <f t="shared" si="0"/>
        <v>64448</v>
      </c>
      <c r="H19" s="531">
        <v>220</v>
      </c>
      <c r="I19" s="539">
        <f t="shared" si="1"/>
        <v>2126.7839999999997</v>
      </c>
      <c r="J19" s="539">
        <f t="shared" si="2"/>
        <v>2126.7839999999997</v>
      </c>
      <c r="K19" s="538">
        <v>0</v>
      </c>
      <c r="L19" s="538">
        <v>0</v>
      </c>
      <c r="M19" s="538">
        <f t="shared" si="3"/>
        <v>425.35680000000002</v>
      </c>
      <c r="N19" s="1571"/>
      <c r="O19" s="1572"/>
      <c r="P19" s="1572"/>
      <c r="Q19" s="1572"/>
      <c r="R19" s="1573"/>
    </row>
    <row r="20" spans="1:18" ht="31.5" customHeight="1" x14ac:dyDescent="0.2">
      <c r="A20" s="486">
        <v>10</v>
      </c>
      <c r="B20" s="487" t="s">
        <v>656</v>
      </c>
      <c r="C20" s="530">
        <v>98672</v>
      </c>
      <c r="D20" s="530">
        <v>2882</v>
      </c>
      <c r="E20" s="530">
        <v>0</v>
      </c>
      <c r="F20" s="530">
        <v>412</v>
      </c>
      <c r="G20" s="530">
        <f t="shared" si="0"/>
        <v>101966</v>
      </c>
      <c r="H20" s="531">
        <v>220</v>
      </c>
      <c r="I20" s="539">
        <f t="shared" si="1"/>
        <v>3364.8779999999997</v>
      </c>
      <c r="J20" s="539">
        <f t="shared" si="2"/>
        <v>3364.8779999999997</v>
      </c>
      <c r="K20" s="538">
        <v>0</v>
      </c>
      <c r="L20" s="538">
        <v>0</v>
      </c>
      <c r="M20" s="538">
        <f t="shared" si="3"/>
        <v>672.97559999999999</v>
      </c>
      <c r="N20" s="1571"/>
      <c r="O20" s="1572"/>
      <c r="P20" s="1572"/>
      <c r="Q20" s="1572"/>
      <c r="R20" s="1573"/>
    </row>
    <row r="21" spans="1:18" ht="31.5" customHeight="1" x14ac:dyDescent="0.2">
      <c r="A21" s="486">
        <v>11</v>
      </c>
      <c r="B21" s="487" t="s">
        <v>657</v>
      </c>
      <c r="C21" s="530">
        <v>55817</v>
      </c>
      <c r="D21" s="530">
        <v>5105</v>
      </c>
      <c r="E21" s="530">
        <v>0</v>
      </c>
      <c r="F21" s="530">
        <v>438</v>
      </c>
      <c r="G21" s="530">
        <f t="shared" si="0"/>
        <v>61360</v>
      </c>
      <c r="H21" s="531">
        <v>220</v>
      </c>
      <c r="I21" s="539">
        <f t="shared" si="1"/>
        <v>2024.8799999999999</v>
      </c>
      <c r="J21" s="539">
        <f t="shared" si="2"/>
        <v>2024.8799999999999</v>
      </c>
      <c r="K21" s="538">
        <v>0</v>
      </c>
      <c r="L21" s="538">
        <v>0</v>
      </c>
      <c r="M21" s="538">
        <f t="shared" si="3"/>
        <v>404.976</v>
      </c>
      <c r="N21" s="1571"/>
      <c r="O21" s="1572"/>
      <c r="P21" s="1572"/>
      <c r="Q21" s="1572"/>
      <c r="R21" s="1573"/>
    </row>
    <row r="22" spans="1:18" ht="31.5" customHeight="1" x14ac:dyDescent="0.2">
      <c r="A22" s="486">
        <v>12</v>
      </c>
      <c r="B22" s="487" t="s">
        <v>658</v>
      </c>
      <c r="C22" s="530">
        <v>97989</v>
      </c>
      <c r="D22" s="530">
        <v>2131</v>
      </c>
      <c r="E22" s="530">
        <v>0</v>
      </c>
      <c r="F22" s="530">
        <v>415</v>
      </c>
      <c r="G22" s="530">
        <f t="shared" si="0"/>
        <v>100535</v>
      </c>
      <c r="H22" s="531">
        <v>220</v>
      </c>
      <c r="I22" s="539">
        <f t="shared" si="1"/>
        <v>3317.6549999999997</v>
      </c>
      <c r="J22" s="539">
        <f t="shared" si="2"/>
        <v>3317.6549999999997</v>
      </c>
      <c r="K22" s="538">
        <v>0</v>
      </c>
      <c r="L22" s="538">
        <v>0</v>
      </c>
      <c r="M22" s="538">
        <f t="shared" si="3"/>
        <v>663.53100000000006</v>
      </c>
      <c r="N22" s="1571"/>
      <c r="O22" s="1572"/>
      <c r="P22" s="1572"/>
      <c r="Q22" s="1572"/>
      <c r="R22" s="1573"/>
    </row>
    <row r="23" spans="1:18" ht="31.5" customHeight="1" x14ac:dyDescent="0.2">
      <c r="A23" s="486">
        <v>13</v>
      </c>
      <c r="B23" s="487" t="s">
        <v>659</v>
      </c>
      <c r="C23" s="530">
        <v>107483</v>
      </c>
      <c r="D23" s="530">
        <v>6070</v>
      </c>
      <c r="E23" s="530">
        <v>0</v>
      </c>
      <c r="F23" s="530">
        <v>745</v>
      </c>
      <c r="G23" s="530">
        <f>C23+D23+E23+F23</f>
        <v>114298</v>
      </c>
      <c r="H23" s="531">
        <v>220</v>
      </c>
      <c r="I23" s="539">
        <f t="shared" si="1"/>
        <v>3771.8339999999998</v>
      </c>
      <c r="J23" s="539">
        <f t="shared" si="2"/>
        <v>3771.8339999999998</v>
      </c>
      <c r="K23" s="538">
        <v>0</v>
      </c>
      <c r="L23" s="538">
        <v>0</v>
      </c>
      <c r="M23" s="538">
        <f t="shared" si="3"/>
        <v>754.36680000000001</v>
      </c>
      <c r="N23" s="1574"/>
      <c r="O23" s="1575"/>
      <c r="P23" s="1575"/>
      <c r="Q23" s="1575"/>
      <c r="R23" s="1576"/>
    </row>
    <row r="24" spans="1:18" s="77" customFormat="1" ht="31.5" customHeight="1" x14ac:dyDescent="0.2">
      <c r="A24" s="1400" t="s">
        <v>660</v>
      </c>
      <c r="B24" s="1402"/>
      <c r="C24" s="866">
        <f>SUM(C11:C23)</f>
        <v>1059541</v>
      </c>
      <c r="D24" s="866">
        <f t="shared" ref="D24:F24" si="4">SUM(D11:D23)</f>
        <v>68247</v>
      </c>
      <c r="E24" s="866">
        <f t="shared" si="4"/>
        <v>0</v>
      </c>
      <c r="F24" s="866">
        <f t="shared" si="4"/>
        <v>2789</v>
      </c>
      <c r="G24" s="866">
        <f>SUM(G11:G23)</f>
        <v>1130577</v>
      </c>
      <c r="H24" s="958">
        <v>220</v>
      </c>
      <c r="I24" s="959">
        <f>SUM(I11:I23)</f>
        <v>37309.041000000005</v>
      </c>
      <c r="J24" s="959">
        <f>SUM(J11:J23)</f>
        <v>37309.041000000005</v>
      </c>
      <c r="K24" s="960">
        <f t="shared" ref="K24:L24" si="5">SUM(K11:K23)</f>
        <v>0</v>
      </c>
      <c r="L24" s="960">
        <f t="shared" si="5"/>
        <v>0</v>
      </c>
      <c r="M24" s="960">
        <f>G24*H24*0.00003</f>
        <v>7461.8082000000004</v>
      </c>
      <c r="N24" s="960"/>
      <c r="O24" s="960"/>
      <c r="P24" s="960"/>
      <c r="Q24" s="960"/>
      <c r="R24" s="960"/>
    </row>
    <row r="25" spans="1:18" ht="15" x14ac:dyDescent="0.2">
      <c r="A25" s="80"/>
      <c r="B25" s="80"/>
      <c r="C25" s="80"/>
      <c r="D25" s="80"/>
      <c r="E25" s="80"/>
      <c r="F25" s="80"/>
      <c r="G25" s="773"/>
      <c r="H25" s="80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15" x14ac:dyDescent="0.2">
      <c r="A26" s="81"/>
      <c r="B26" s="81"/>
      <c r="C26" s="81"/>
      <c r="G26" s="774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s="78" customFormat="1" ht="72.75" customHeight="1" x14ac:dyDescent="0.2">
      <c r="A27" s="1557" t="s">
        <v>702</v>
      </c>
      <c r="B27" s="1557"/>
      <c r="C27" s="527"/>
      <c r="D27" s="528"/>
      <c r="E27" s="528"/>
      <c r="F27" s="529"/>
      <c r="G27" s="529"/>
      <c r="M27" s="1559" t="s">
        <v>701</v>
      </c>
      <c r="N27" s="1559"/>
      <c r="O27" s="1559"/>
      <c r="P27" s="1559"/>
      <c r="Q27" s="1559"/>
      <c r="R27" s="1559"/>
    </row>
  </sheetData>
  <mergeCells count="17">
    <mergeCell ref="A24:B24"/>
    <mergeCell ref="A27:B27"/>
    <mergeCell ref="M27:R27"/>
    <mergeCell ref="L7:R7"/>
    <mergeCell ref="A8:A9"/>
    <mergeCell ref="B8:B9"/>
    <mergeCell ref="C8:G8"/>
    <mergeCell ref="H8:H9"/>
    <mergeCell ref="I8:L8"/>
    <mergeCell ref="M8:R8"/>
    <mergeCell ref="N11:R23"/>
    <mergeCell ref="A6:R6"/>
    <mergeCell ref="G1:I1"/>
    <mergeCell ref="P1:Q1"/>
    <mergeCell ref="A2:R2"/>
    <mergeCell ref="A3:R3"/>
    <mergeCell ref="A4:R5"/>
  </mergeCells>
  <printOptions horizontalCentered="1"/>
  <pageMargins left="0.70866141732283472" right="0.11811023622047245" top="0.19685039370078741" bottom="0.11811023622047245" header="7.874015748031496E-2" footer="7.874015748031496E-2"/>
  <pageSetup paperSize="9" scale="8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5" tint="0.59999389629810485"/>
  </sheetPr>
  <dimension ref="A1:N27"/>
  <sheetViews>
    <sheetView view="pageBreakPreview" topLeftCell="A7" zoomScale="70" zoomScaleSheetLayoutView="70" workbookViewId="0">
      <selection activeCell="R1" sqref="R1"/>
    </sheetView>
  </sheetViews>
  <sheetFormatPr defaultColWidth="9.140625" defaultRowHeight="12.75" x14ac:dyDescent="0.2"/>
  <cols>
    <col min="1" max="1" width="5.5703125" style="78" customWidth="1"/>
    <col min="2" max="2" width="16.28515625" style="78" customWidth="1"/>
    <col min="3" max="3" width="12.140625" style="78" customWidth="1"/>
    <col min="4" max="4" width="10.7109375" style="78" customWidth="1"/>
    <col min="5" max="9" width="11.28515625" style="75" customWidth="1"/>
    <col min="10" max="14" width="8.140625" style="75" customWidth="1"/>
    <col min="15" max="16384" width="9.140625" style="75"/>
  </cols>
  <sheetData>
    <row r="1" spans="1:14" ht="15" x14ac:dyDescent="0.2">
      <c r="D1" s="1146"/>
      <c r="E1" s="1146"/>
      <c r="F1" s="78"/>
      <c r="G1" s="78"/>
      <c r="H1" s="78"/>
      <c r="I1" s="78"/>
      <c r="J1" s="78"/>
      <c r="K1" s="78"/>
      <c r="L1" s="1560" t="s">
        <v>883</v>
      </c>
      <c r="M1" s="1560"/>
      <c r="N1" s="78"/>
    </row>
    <row r="2" spans="1:14" ht="15.75" x14ac:dyDescent="0.25">
      <c r="A2" s="1148" t="s">
        <v>0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  <c r="L2" s="1148"/>
      <c r="M2" s="1148"/>
      <c r="N2" s="1148"/>
    </row>
    <row r="3" spans="1:14" ht="18" x14ac:dyDescent="0.25">
      <c r="A3" s="1562" t="s">
        <v>793</v>
      </c>
      <c r="B3" s="1562"/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</row>
    <row r="4" spans="1:14" ht="12.75" customHeight="1" x14ac:dyDescent="0.2">
      <c r="A4" s="1561" t="s">
        <v>884</v>
      </c>
      <c r="B4" s="1561"/>
      <c r="C4" s="1561"/>
      <c r="D4" s="1561"/>
      <c r="E4" s="1561"/>
      <c r="F4" s="1561"/>
      <c r="G4" s="1561"/>
      <c r="H4" s="1561"/>
      <c r="I4" s="1561"/>
      <c r="J4" s="1561"/>
      <c r="K4" s="1561"/>
      <c r="L4" s="1561"/>
      <c r="M4" s="1561"/>
      <c r="N4" s="1561"/>
    </row>
    <row r="5" spans="1:14" s="76" customFormat="1" ht="7.5" customHeight="1" x14ac:dyDescent="0.2">
      <c r="A5" s="1561"/>
      <c r="B5" s="1561"/>
      <c r="C5" s="1561"/>
      <c r="D5" s="1561"/>
      <c r="E5" s="1561"/>
      <c r="F5" s="1561"/>
      <c r="G5" s="1561"/>
      <c r="H5" s="1561"/>
      <c r="I5" s="1561"/>
      <c r="J5" s="1561"/>
      <c r="K5" s="1561"/>
      <c r="L5" s="1561"/>
      <c r="M5" s="1561"/>
      <c r="N5" s="1561"/>
    </row>
    <row r="6" spans="1:14" x14ac:dyDescent="0.2">
      <c r="A6" s="1563"/>
      <c r="B6" s="1563"/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</row>
    <row r="7" spans="1:14" x14ac:dyDescent="0.2">
      <c r="A7" s="524" t="s">
        <v>665</v>
      </c>
      <c r="B7" s="524"/>
      <c r="D7" s="793"/>
      <c r="E7" s="78"/>
      <c r="F7" s="78"/>
      <c r="G7" s="78"/>
      <c r="H7" s="1564"/>
      <c r="I7" s="1564"/>
      <c r="J7" s="1564"/>
      <c r="K7" s="1564"/>
      <c r="L7" s="1564"/>
      <c r="M7" s="1564"/>
      <c r="N7" s="1564"/>
    </row>
    <row r="8" spans="1:14" ht="30.75" customHeight="1" x14ac:dyDescent="0.2">
      <c r="A8" s="1482" t="s">
        <v>2</v>
      </c>
      <c r="B8" s="1482" t="s">
        <v>3</v>
      </c>
      <c r="C8" s="1577" t="s">
        <v>339</v>
      </c>
      <c r="D8" s="1566" t="s">
        <v>76</v>
      </c>
      <c r="E8" s="1227" t="s">
        <v>77</v>
      </c>
      <c r="F8" s="1228"/>
      <c r="G8" s="1228"/>
      <c r="H8" s="1229"/>
      <c r="I8" s="1227" t="s">
        <v>855</v>
      </c>
      <c r="J8" s="1228"/>
      <c r="K8" s="1228"/>
      <c r="L8" s="1228"/>
      <c r="M8" s="1228"/>
      <c r="N8" s="1228"/>
    </row>
    <row r="9" spans="1:14" ht="49.5" customHeight="1" x14ac:dyDescent="0.2">
      <c r="A9" s="1482"/>
      <c r="B9" s="1482"/>
      <c r="C9" s="1578"/>
      <c r="D9" s="1567"/>
      <c r="E9" s="792" t="s">
        <v>165</v>
      </c>
      <c r="F9" s="792" t="s">
        <v>107</v>
      </c>
      <c r="G9" s="792" t="s">
        <v>108</v>
      </c>
      <c r="H9" s="792" t="s">
        <v>421</v>
      </c>
      <c r="I9" s="792" t="s">
        <v>13</v>
      </c>
      <c r="J9" s="846" t="s">
        <v>856</v>
      </c>
      <c r="K9" s="846" t="s">
        <v>857</v>
      </c>
      <c r="L9" s="846" t="s">
        <v>858</v>
      </c>
      <c r="M9" s="846" t="s">
        <v>859</v>
      </c>
      <c r="N9" s="846" t="s">
        <v>860</v>
      </c>
    </row>
    <row r="10" spans="1:14" s="77" customFormat="1" x14ac:dyDescent="0.2">
      <c r="A10" s="306">
        <v>1</v>
      </c>
      <c r="B10" s="306">
        <v>2</v>
      </c>
      <c r="C10" s="306">
        <v>3</v>
      </c>
      <c r="D10" s="306">
        <v>4</v>
      </c>
      <c r="E10" s="306">
        <v>5</v>
      </c>
      <c r="F10" s="306">
        <v>6</v>
      </c>
      <c r="G10" s="306">
        <v>7</v>
      </c>
      <c r="H10" s="306">
        <v>8</v>
      </c>
      <c r="I10" s="306">
        <v>9</v>
      </c>
      <c r="J10" s="306">
        <v>10</v>
      </c>
      <c r="K10" s="306">
        <v>11</v>
      </c>
      <c r="L10" s="306">
        <v>12</v>
      </c>
      <c r="M10" s="306">
        <v>13</v>
      </c>
      <c r="N10" s="306">
        <v>14</v>
      </c>
    </row>
    <row r="11" spans="1:14" ht="31.5" customHeight="1" x14ac:dyDescent="0.2">
      <c r="A11" s="486">
        <v>1</v>
      </c>
      <c r="B11" s="487" t="s">
        <v>647</v>
      </c>
      <c r="C11" s="530">
        <v>0</v>
      </c>
      <c r="D11" s="531">
        <v>302</v>
      </c>
      <c r="E11" s="539">
        <f>F11</f>
        <v>0</v>
      </c>
      <c r="F11" s="539">
        <f>C11*D11*0.00015</f>
        <v>0</v>
      </c>
      <c r="G11" s="538">
        <v>0</v>
      </c>
      <c r="H11" s="538">
        <v>0</v>
      </c>
      <c r="I11" s="539">
        <f>C11*D11*0.00003</f>
        <v>0</v>
      </c>
      <c r="J11" s="1568" t="s">
        <v>894</v>
      </c>
      <c r="K11" s="1569"/>
      <c r="L11" s="1569"/>
      <c r="M11" s="1569"/>
      <c r="N11" s="1570"/>
    </row>
    <row r="12" spans="1:14" ht="31.5" customHeight="1" x14ac:dyDescent="0.2">
      <c r="A12" s="486">
        <v>2</v>
      </c>
      <c r="B12" s="487" t="s">
        <v>648</v>
      </c>
      <c r="C12" s="530">
        <v>0</v>
      </c>
      <c r="D12" s="531">
        <v>302</v>
      </c>
      <c r="E12" s="539">
        <f t="shared" ref="E12:E23" si="0">F12</f>
        <v>0</v>
      </c>
      <c r="F12" s="539">
        <f t="shared" ref="F12:F23" si="1">C12*D12*0.00015</f>
        <v>0</v>
      </c>
      <c r="G12" s="538">
        <v>0</v>
      </c>
      <c r="H12" s="538">
        <v>0</v>
      </c>
      <c r="I12" s="539">
        <f t="shared" ref="I12:I23" si="2">C12*D12*0.00003</f>
        <v>0</v>
      </c>
      <c r="J12" s="1571"/>
      <c r="K12" s="1572"/>
      <c r="L12" s="1572"/>
      <c r="M12" s="1572"/>
      <c r="N12" s="1573"/>
    </row>
    <row r="13" spans="1:14" ht="31.5" customHeight="1" x14ac:dyDescent="0.2">
      <c r="A13" s="486">
        <v>3</v>
      </c>
      <c r="B13" s="487" t="s">
        <v>649</v>
      </c>
      <c r="C13" s="530">
        <v>0</v>
      </c>
      <c r="D13" s="531">
        <v>302</v>
      </c>
      <c r="E13" s="539">
        <f t="shared" si="0"/>
        <v>0</v>
      </c>
      <c r="F13" s="539">
        <f t="shared" si="1"/>
        <v>0</v>
      </c>
      <c r="G13" s="538">
        <v>0</v>
      </c>
      <c r="H13" s="538">
        <v>0</v>
      </c>
      <c r="I13" s="539">
        <f t="shared" si="2"/>
        <v>0</v>
      </c>
      <c r="J13" s="1571"/>
      <c r="K13" s="1572"/>
      <c r="L13" s="1572"/>
      <c r="M13" s="1572"/>
      <c r="N13" s="1573"/>
    </row>
    <row r="14" spans="1:14" ht="31.5" customHeight="1" x14ac:dyDescent="0.2">
      <c r="A14" s="486">
        <v>4</v>
      </c>
      <c r="B14" s="487" t="s">
        <v>650</v>
      </c>
      <c r="C14" s="530">
        <v>0</v>
      </c>
      <c r="D14" s="531">
        <v>302</v>
      </c>
      <c r="E14" s="539">
        <f t="shared" si="0"/>
        <v>0</v>
      </c>
      <c r="F14" s="539">
        <f t="shared" si="1"/>
        <v>0</v>
      </c>
      <c r="G14" s="538">
        <v>0</v>
      </c>
      <c r="H14" s="538">
        <v>0</v>
      </c>
      <c r="I14" s="539">
        <f t="shared" si="2"/>
        <v>0</v>
      </c>
      <c r="J14" s="1571"/>
      <c r="K14" s="1572"/>
      <c r="L14" s="1572"/>
      <c r="M14" s="1572"/>
      <c r="N14" s="1573"/>
    </row>
    <row r="15" spans="1:14" ht="31.5" customHeight="1" x14ac:dyDescent="0.2">
      <c r="A15" s="486">
        <v>5</v>
      </c>
      <c r="B15" s="487" t="s">
        <v>651</v>
      </c>
      <c r="C15" s="530">
        <v>976</v>
      </c>
      <c r="D15" s="531">
        <v>302</v>
      </c>
      <c r="E15" s="539">
        <f t="shared" si="0"/>
        <v>44.212799999999994</v>
      </c>
      <c r="F15" s="539">
        <f t="shared" si="1"/>
        <v>44.212799999999994</v>
      </c>
      <c r="G15" s="538">
        <v>0</v>
      </c>
      <c r="H15" s="538">
        <v>0</v>
      </c>
      <c r="I15" s="539">
        <f t="shared" si="2"/>
        <v>8.8425600000000006</v>
      </c>
      <c r="J15" s="1571"/>
      <c r="K15" s="1572"/>
      <c r="L15" s="1572"/>
      <c r="M15" s="1572"/>
      <c r="N15" s="1573"/>
    </row>
    <row r="16" spans="1:14" ht="31.5" customHeight="1" x14ac:dyDescent="0.2">
      <c r="A16" s="486">
        <v>6</v>
      </c>
      <c r="B16" s="487" t="s">
        <v>652</v>
      </c>
      <c r="C16" s="530">
        <v>104</v>
      </c>
      <c r="D16" s="531">
        <v>302</v>
      </c>
      <c r="E16" s="539">
        <f t="shared" si="0"/>
        <v>4.7111999999999998</v>
      </c>
      <c r="F16" s="539">
        <f t="shared" si="1"/>
        <v>4.7111999999999998</v>
      </c>
      <c r="G16" s="538">
        <v>0</v>
      </c>
      <c r="H16" s="538">
        <v>0</v>
      </c>
      <c r="I16" s="539">
        <f t="shared" si="2"/>
        <v>0.94224000000000008</v>
      </c>
      <c r="J16" s="1571"/>
      <c r="K16" s="1572"/>
      <c r="L16" s="1572"/>
      <c r="M16" s="1572"/>
      <c r="N16" s="1573"/>
    </row>
    <row r="17" spans="1:14" ht="31.5" customHeight="1" x14ac:dyDescent="0.2">
      <c r="A17" s="486">
        <v>7</v>
      </c>
      <c r="B17" s="487" t="s">
        <v>653</v>
      </c>
      <c r="C17" s="530">
        <v>2200</v>
      </c>
      <c r="D17" s="531">
        <v>302</v>
      </c>
      <c r="E17" s="539">
        <f t="shared" si="0"/>
        <v>99.66</v>
      </c>
      <c r="F17" s="539">
        <f t="shared" si="1"/>
        <v>99.66</v>
      </c>
      <c r="G17" s="538">
        <v>0</v>
      </c>
      <c r="H17" s="538">
        <v>0</v>
      </c>
      <c r="I17" s="539">
        <f t="shared" si="2"/>
        <v>19.932000000000002</v>
      </c>
      <c r="J17" s="1571"/>
      <c r="K17" s="1572"/>
      <c r="L17" s="1572"/>
      <c r="M17" s="1572"/>
      <c r="N17" s="1573"/>
    </row>
    <row r="18" spans="1:14" ht="31.5" customHeight="1" x14ac:dyDescent="0.2">
      <c r="A18" s="486">
        <v>8</v>
      </c>
      <c r="B18" s="487" t="s">
        <v>654</v>
      </c>
      <c r="C18" s="530">
        <v>0</v>
      </c>
      <c r="D18" s="531">
        <v>302</v>
      </c>
      <c r="E18" s="539">
        <f t="shared" si="0"/>
        <v>0</v>
      </c>
      <c r="F18" s="539">
        <f t="shared" si="1"/>
        <v>0</v>
      </c>
      <c r="G18" s="538">
        <v>0</v>
      </c>
      <c r="H18" s="538">
        <v>0</v>
      </c>
      <c r="I18" s="539">
        <f t="shared" si="2"/>
        <v>0</v>
      </c>
      <c r="J18" s="1571"/>
      <c r="K18" s="1572"/>
      <c r="L18" s="1572"/>
      <c r="M18" s="1572"/>
      <c r="N18" s="1573"/>
    </row>
    <row r="19" spans="1:14" ht="31.5" customHeight="1" x14ac:dyDescent="0.2">
      <c r="A19" s="486">
        <v>9</v>
      </c>
      <c r="B19" s="487" t="s">
        <v>655</v>
      </c>
      <c r="C19" s="530">
        <v>490</v>
      </c>
      <c r="D19" s="531">
        <v>302</v>
      </c>
      <c r="E19" s="539">
        <f t="shared" si="0"/>
        <v>22.196999999999999</v>
      </c>
      <c r="F19" s="539">
        <f t="shared" si="1"/>
        <v>22.196999999999999</v>
      </c>
      <c r="G19" s="538">
        <v>0</v>
      </c>
      <c r="H19" s="538">
        <v>0</v>
      </c>
      <c r="I19" s="539">
        <f t="shared" si="2"/>
        <v>4.4394</v>
      </c>
      <c r="J19" s="1571"/>
      <c r="K19" s="1572"/>
      <c r="L19" s="1572"/>
      <c r="M19" s="1572"/>
      <c r="N19" s="1573"/>
    </row>
    <row r="20" spans="1:14" ht="31.5" customHeight="1" x14ac:dyDescent="0.2">
      <c r="A20" s="486">
        <v>10</v>
      </c>
      <c r="B20" s="487" t="s">
        <v>656</v>
      </c>
      <c r="C20" s="530">
        <v>0</v>
      </c>
      <c r="D20" s="531">
        <v>302</v>
      </c>
      <c r="E20" s="539">
        <f t="shared" si="0"/>
        <v>0</v>
      </c>
      <c r="F20" s="539">
        <f t="shared" si="1"/>
        <v>0</v>
      </c>
      <c r="G20" s="538">
        <v>0</v>
      </c>
      <c r="H20" s="538">
        <v>0</v>
      </c>
      <c r="I20" s="539">
        <f t="shared" si="2"/>
        <v>0</v>
      </c>
      <c r="J20" s="1571"/>
      <c r="K20" s="1572"/>
      <c r="L20" s="1572"/>
      <c r="M20" s="1572"/>
      <c r="N20" s="1573"/>
    </row>
    <row r="21" spans="1:14" ht="31.5" customHeight="1" x14ac:dyDescent="0.2">
      <c r="A21" s="486">
        <v>11</v>
      </c>
      <c r="B21" s="487" t="s">
        <v>657</v>
      </c>
      <c r="C21" s="530">
        <v>0</v>
      </c>
      <c r="D21" s="531">
        <v>302</v>
      </c>
      <c r="E21" s="539">
        <f t="shared" si="0"/>
        <v>0</v>
      </c>
      <c r="F21" s="539">
        <f t="shared" si="1"/>
        <v>0</v>
      </c>
      <c r="G21" s="538">
        <v>0</v>
      </c>
      <c r="H21" s="538">
        <v>0</v>
      </c>
      <c r="I21" s="539">
        <f t="shared" si="2"/>
        <v>0</v>
      </c>
      <c r="J21" s="1571"/>
      <c r="K21" s="1572"/>
      <c r="L21" s="1572"/>
      <c r="M21" s="1572"/>
      <c r="N21" s="1573"/>
    </row>
    <row r="22" spans="1:14" ht="31.5" customHeight="1" x14ac:dyDescent="0.2">
      <c r="A22" s="486">
        <v>12</v>
      </c>
      <c r="B22" s="487" t="s">
        <v>658</v>
      </c>
      <c r="C22" s="530">
        <v>0</v>
      </c>
      <c r="D22" s="531">
        <v>302</v>
      </c>
      <c r="E22" s="539">
        <f t="shared" si="0"/>
        <v>0</v>
      </c>
      <c r="F22" s="539">
        <f t="shared" si="1"/>
        <v>0</v>
      </c>
      <c r="G22" s="538">
        <v>0</v>
      </c>
      <c r="H22" s="538">
        <v>0</v>
      </c>
      <c r="I22" s="539">
        <f t="shared" si="2"/>
        <v>0</v>
      </c>
      <c r="J22" s="1571"/>
      <c r="K22" s="1572"/>
      <c r="L22" s="1572"/>
      <c r="M22" s="1572"/>
      <c r="N22" s="1573"/>
    </row>
    <row r="23" spans="1:14" ht="31.5" customHeight="1" x14ac:dyDescent="0.2">
      <c r="A23" s="486">
        <v>13</v>
      </c>
      <c r="B23" s="487" t="s">
        <v>659</v>
      </c>
      <c r="C23" s="530">
        <v>185</v>
      </c>
      <c r="D23" s="531">
        <v>302</v>
      </c>
      <c r="E23" s="539">
        <f t="shared" si="0"/>
        <v>8.3804999999999996</v>
      </c>
      <c r="F23" s="539">
        <f t="shared" si="1"/>
        <v>8.3804999999999996</v>
      </c>
      <c r="G23" s="538">
        <v>0</v>
      </c>
      <c r="H23" s="538">
        <v>0</v>
      </c>
      <c r="I23" s="539">
        <f t="shared" si="2"/>
        <v>1.6761000000000001</v>
      </c>
      <c r="J23" s="1574"/>
      <c r="K23" s="1575"/>
      <c r="L23" s="1575"/>
      <c r="M23" s="1575"/>
      <c r="N23" s="1576"/>
    </row>
    <row r="24" spans="1:14" s="77" customFormat="1" ht="31.5" customHeight="1" x14ac:dyDescent="0.2">
      <c r="A24" s="1400" t="s">
        <v>660</v>
      </c>
      <c r="B24" s="1402"/>
      <c r="C24" s="866">
        <f t="shared" ref="C24" si="3">SUM(C11:C23)</f>
        <v>3955</v>
      </c>
      <c r="D24" s="961">
        <v>302</v>
      </c>
      <c r="E24" s="959">
        <f>SUM(E11:E23)</f>
        <v>179.16150000000002</v>
      </c>
      <c r="F24" s="959">
        <f>SUM(F11:F23)</f>
        <v>179.16150000000002</v>
      </c>
      <c r="G24" s="960">
        <f t="shared" ref="G24:H24" si="4">SUM(G11:G23)</f>
        <v>0</v>
      </c>
      <c r="H24" s="960">
        <f t="shared" si="4"/>
        <v>0</v>
      </c>
      <c r="I24" s="959">
        <f>SUM(I11:I23)</f>
        <v>35.832300000000004</v>
      </c>
      <c r="J24" s="960"/>
      <c r="K24" s="960"/>
      <c r="L24" s="960"/>
      <c r="M24" s="960"/>
      <c r="N24" s="960"/>
    </row>
    <row r="25" spans="1:14" x14ac:dyDescent="0.2">
      <c r="A25" s="80"/>
      <c r="B25" s="80"/>
      <c r="C25" s="80"/>
      <c r="D25" s="80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x14ac:dyDescent="0.2">
      <c r="A26" s="81"/>
      <c r="B26" s="81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s="78" customFormat="1" ht="72.75" customHeight="1" x14ac:dyDescent="0.2">
      <c r="A27" s="1557" t="s">
        <v>702</v>
      </c>
      <c r="B27" s="1557"/>
      <c r="C27" s="528"/>
      <c r="I27" s="1559" t="s">
        <v>701</v>
      </c>
      <c r="J27" s="1559"/>
      <c r="K27" s="1559"/>
      <c r="L27" s="1559"/>
      <c r="M27" s="1559"/>
      <c r="N27" s="1559"/>
    </row>
  </sheetData>
  <mergeCells count="17">
    <mergeCell ref="A24:B24"/>
    <mergeCell ref="A27:B27"/>
    <mergeCell ref="I27:N27"/>
    <mergeCell ref="H7:N7"/>
    <mergeCell ref="A8:A9"/>
    <mergeCell ref="B8:B9"/>
    <mergeCell ref="D8:D9"/>
    <mergeCell ref="E8:H8"/>
    <mergeCell ref="I8:N8"/>
    <mergeCell ref="J11:N23"/>
    <mergeCell ref="C8:C9"/>
    <mergeCell ref="A6:N6"/>
    <mergeCell ref="D1:E1"/>
    <mergeCell ref="L1:M1"/>
    <mergeCell ref="A2:N2"/>
    <mergeCell ref="A3:N3"/>
    <mergeCell ref="A4:N5"/>
  </mergeCells>
  <printOptions horizontalCentered="1"/>
  <pageMargins left="0.78740157480314965" right="0.39370078740157483" top="0.23622047244094491" bottom="0.19685039370078741" header="7.874015748031496E-2" footer="7.874015748031496E-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59999389629810485"/>
  </sheetPr>
  <dimension ref="A1:X30"/>
  <sheetViews>
    <sheetView view="pageBreakPreview" topLeftCell="A6" zoomScale="80" zoomScaleSheetLayoutView="80" workbookViewId="0">
      <selection activeCell="C15" sqref="C15:E17"/>
    </sheetView>
  </sheetViews>
  <sheetFormatPr defaultColWidth="9.140625" defaultRowHeight="12.75" x14ac:dyDescent="0.2"/>
  <cols>
    <col min="1" max="1" width="7.28515625" style="63" customWidth="1"/>
    <col min="2" max="2" width="23" style="63" customWidth="1"/>
    <col min="3" max="5" width="9.7109375" style="63" customWidth="1"/>
    <col min="6" max="6" width="12.140625" style="63" customWidth="1"/>
    <col min="7" max="9" width="8.28515625" style="63" customWidth="1"/>
    <col min="10" max="10" width="9.140625" style="63" customWidth="1"/>
    <col min="11" max="11" width="9.85546875" style="63" customWidth="1"/>
    <col min="12" max="12" width="8" style="63" customWidth="1"/>
    <col min="13" max="13" width="8.28515625" style="63" customWidth="1"/>
    <col min="14" max="14" width="7.5703125" style="63" customWidth="1"/>
    <col min="15" max="15" width="10.28515625" style="63" customWidth="1"/>
    <col min="16" max="16" width="9.140625" style="63" customWidth="1"/>
    <col min="17" max="17" width="8.85546875" style="63" customWidth="1"/>
    <col min="18" max="18" width="7.5703125" style="63" customWidth="1"/>
    <col min="19" max="19" width="9.140625" style="63" customWidth="1"/>
    <col min="20" max="20" width="8" style="63" customWidth="1"/>
    <col min="21" max="21" width="8.140625" style="63" customWidth="1"/>
    <col min="22" max="22" width="7.5703125" style="63" customWidth="1"/>
    <col min="23" max="23" width="9.140625" style="63"/>
    <col min="24" max="28" width="12.42578125" style="63" customWidth="1"/>
    <col min="29" max="16384" width="9.140625" style="63"/>
  </cols>
  <sheetData>
    <row r="1" spans="1:24" ht="15" x14ac:dyDescent="0.2">
      <c r="V1" s="64" t="s">
        <v>539</v>
      </c>
    </row>
    <row r="2" spans="1:24" ht="15.75" x14ac:dyDescent="0.25">
      <c r="G2" s="54" t="s">
        <v>0</v>
      </c>
      <c r="H2" s="54"/>
      <c r="I2" s="54"/>
      <c r="O2" s="38"/>
      <c r="P2" s="38"/>
      <c r="Q2" s="38"/>
      <c r="R2" s="38"/>
    </row>
    <row r="3" spans="1:24" ht="20.25" x14ac:dyDescent="0.3">
      <c r="C3" s="1182" t="s">
        <v>793</v>
      </c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ht="18" x14ac:dyDescent="0.25"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4" ht="21.75" customHeight="1" x14ac:dyDescent="0.25">
      <c r="B5" s="1183" t="s">
        <v>801</v>
      </c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39"/>
      <c r="U5" s="1184" t="s">
        <v>237</v>
      </c>
      <c r="V5" s="1185"/>
    </row>
    <row r="6" spans="1:24" ht="15" x14ac:dyDescent="0.2">
      <c r="K6" s="38"/>
      <c r="L6" s="38"/>
      <c r="M6" s="38"/>
      <c r="N6" s="38"/>
      <c r="O6" s="38"/>
      <c r="P6" s="38"/>
      <c r="Q6" s="38"/>
      <c r="R6" s="38"/>
    </row>
    <row r="7" spans="1:24" x14ac:dyDescent="0.2">
      <c r="A7" s="1186" t="s">
        <v>665</v>
      </c>
      <c r="B7" s="1186"/>
      <c r="O7" s="1187" t="s">
        <v>947</v>
      </c>
      <c r="P7" s="1187"/>
      <c r="Q7" s="1187"/>
      <c r="R7" s="1187"/>
      <c r="S7" s="1187"/>
      <c r="T7" s="1187"/>
      <c r="U7" s="1187"/>
      <c r="V7" s="1187"/>
    </row>
    <row r="8" spans="1:24" s="107" customFormat="1" ht="35.25" customHeight="1" x14ac:dyDescent="0.2">
      <c r="A8" s="1175" t="s">
        <v>2</v>
      </c>
      <c r="B8" s="1175" t="s">
        <v>135</v>
      </c>
      <c r="C8" s="1175" t="s">
        <v>136</v>
      </c>
      <c r="D8" s="1175"/>
      <c r="E8" s="1175"/>
      <c r="F8" s="1175" t="s">
        <v>137</v>
      </c>
      <c r="G8" s="1175" t="s">
        <v>162</v>
      </c>
      <c r="H8" s="1175"/>
      <c r="I8" s="1175"/>
      <c r="J8" s="1175"/>
      <c r="K8" s="1175"/>
      <c r="L8" s="1175"/>
      <c r="M8" s="1175"/>
      <c r="N8" s="1175"/>
      <c r="O8" s="1175" t="s">
        <v>163</v>
      </c>
      <c r="P8" s="1175"/>
      <c r="Q8" s="1175"/>
      <c r="R8" s="1175"/>
      <c r="S8" s="1175"/>
      <c r="T8" s="1175"/>
      <c r="U8" s="1175"/>
      <c r="V8" s="1175"/>
    </row>
    <row r="9" spans="1:24" s="107" customFormat="1" ht="15" x14ac:dyDescent="0.2">
      <c r="A9" s="1175"/>
      <c r="B9" s="1175"/>
      <c r="C9" s="1175" t="s">
        <v>238</v>
      </c>
      <c r="D9" s="1175" t="s">
        <v>35</v>
      </c>
      <c r="E9" s="1175" t="s">
        <v>36</v>
      </c>
      <c r="F9" s="1175"/>
      <c r="G9" s="1175" t="s">
        <v>164</v>
      </c>
      <c r="H9" s="1175"/>
      <c r="I9" s="1175"/>
      <c r="J9" s="1175"/>
      <c r="K9" s="1175" t="s">
        <v>151</v>
      </c>
      <c r="L9" s="1175"/>
      <c r="M9" s="1175"/>
      <c r="N9" s="1175"/>
      <c r="O9" s="1175" t="s">
        <v>138</v>
      </c>
      <c r="P9" s="1175"/>
      <c r="Q9" s="1175"/>
      <c r="R9" s="1175"/>
      <c r="S9" s="1175" t="s">
        <v>150</v>
      </c>
      <c r="T9" s="1175"/>
      <c r="U9" s="1175"/>
      <c r="V9" s="1175"/>
    </row>
    <row r="10" spans="1:24" s="107" customFormat="1" x14ac:dyDescent="0.2">
      <c r="A10" s="1175"/>
      <c r="B10" s="1175"/>
      <c r="C10" s="1175"/>
      <c r="D10" s="1175"/>
      <c r="E10" s="1175"/>
      <c r="F10" s="1175"/>
      <c r="G10" s="1169" t="s">
        <v>139</v>
      </c>
      <c r="H10" s="1170"/>
      <c r="I10" s="1171"/>
      <c r="J10" s="1188" t="s">
        <v>140</v>
      </c>
      <c r="K10" s="1169" t="s">
        <v>139</v>
      </c>
      <c r="L10" s="1170"/>
      <c r="M10" s="1171"/>
      <c r="N10" s="1188" t="s">
        <v>140</v>
      </c>
      <c r="O10" s="1169" t="s">
        <v>139</v>
      </c>
      <c r="P10" s="1170"/>
      <c r="Q10" s="1171"/>
      <c r="R10" s="1188" t="s">
        <v>140</v>
      </c>
      <c r="S10" s="1169" t="s">
        <v>139</v>
      </c>
      <c r="T10" s="1170"/>
      <c r="U10" s="1171"/>
      <c r="V10" s="1188" t="s">
        <v>140</v>
      </c>
    </row>
    <row r="11" spans="1:24" s="107" customFormat="1" ht="15" customHeight="1" x14ac:dyDescent="0.2">
      <c r="A11" s="1175"/>
      <c r="B11" s="1175"/>
      <c r="C11" s="1175"/>
      <c r="D11" s="1175"/>
      <c r="E11" s="1175"/>
      <c r="F11" s="1175"/>
      <c r="G11" s="1172"/>
      <c r="H11" s="1173"/>
      <c r="I11" s="1174"/>
      <c r="J11" s="1189"/>
      <c r="K11" s="1172"/>
      <c r="L11" s="1173"/>
      <c r="M11" s="1174"/>
      <c r="N11" s="1189"/>
      <c r="O11" s="1172"/>
      <c r="P11" s="1173"/>
      <c r="Q11" s="1174"/>
      <c r="R11" s="1189"/>
      <c r="S11" s="1172"/>
      <c r="T11" s="1173"/>
      <c r="U11" s="1174"/>
      <c r="V11" s="1189"/>
    </row>
    <row r="12" spans="1:24" s="107" customFormat="1" ht="15" x14ac:dyDescent="0.2">
      <c r="A12" s="1175"/>
      <c r="B12" s="1175"/>
      <c r="C12" s="1175"/>
      <c r="D12" s="1175"/>
      <c r="E12" s="1175"/>
      <c r="F12" s="1175"/>
      <c r="G12" s="93" t="s">
        <v>238</v>
      </c>
      <c r="H12" s="93" t="s">
        <v>35</v>
      </c>
      <c r="I12" s="67" t="s">
        <v>36</v>
      </c>
      <c r="J12" s="1190"/>
      <c r="K12" s="93" t="s">
        <v>238</v>
      </c>
      <c r="L12" s="93" t="s">
        <v>35</v>
      </c>
      <c r="M12" s="93" t="s">
        <v>36</v>
      </c>
      <c r="N12" s="1190"/>
      <c r="O12" s="93" t="s">
        <v>238</v>
      </c>
      <c r="P12" s="93" t="s">
        <v>35</v>
      </c>
      <c r="Q12" s="93" t="s">
        <v>36</v>
      </c>
      <c r="R12" s="1190"/>
      <c r="S12" s="93" t="s">
        <v>238</v>
      </c>
      <c r="T12" s="93" t="s">
        <v>35</v>
      </c>
      <c r="U12" s="93" t="s">
        <v>36</v>
      </c>
      <c r="V12" s="1190"/>
    </row>
    <row r="13" spans="1:24" ht="15" x14ac:dyDescent="0.2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6">
        <v>13</v>
      </c>
      <c r="N13" s="66">
        <v>14</v>
      </c>
      <c r="O13" s="66">
        <v>15</v>
      </c>
      <c r="P13" s="66">
        <v>16</v>
      </c>
      <c r="Q13" s="66">
        <v>17</v>
      </c>
      <c r="R13" s="66">
        <v>18</v>
      </c>
      <c r="S13" s="66">
        <v>19</v>
      </c>
      <c r="T13" s="66">
        <v>20</v>
      </c>
      <c r="U13" s="66">
        <v>21</v>
      </c>
      <c r="V13" s="66">
        <v>22</v>
      </c>
    </row>
    <row r="14" spans="1:24" s="107" customFormat="1" ht="45.75" customHeight="1" x14ac:dyDescent="0.2">
      <c r="A14" s="1165" t="s">
        <v>195</v>
      </c>
      <c r="B14" s="1166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</row>
    <row r="15" spans="1:24" s="107" customFormat="1" ht="45.75" customHeight="1" x14ac:dyDescent="0.2">
      <c r="A15" s="93">
        <v>1</v>
      </c>
      <c r="B15" s="108" t="s">
        <v>194</v>
      </c>
      <c r="C15" s="797">
        <v>10087.750943999998</v>
      </c>
      <c r="D15" s="797">
        <v>2646.87</v>
      </c>
      <c r="E15" s="797">
        <v>1382.0190559999999</v>
      </c>
      <c r="F15" s="798" t="s">
        <v>797</v>
      </c>
      <c r="G15" s="799">
        <v>10087.750943999998</v>
      </c>
      <c r="H15" s="799">
        <v>2646.87</v>
      </c>
      <c r="I15" s="799">
        <v>1382.0190559999999</v>
      </c>
      <c r="J15" s="798" t="s">
        <v>799</v>
      </c>
      <c r="K15" s="797">
        <v>10087.750943999998</v>
      </c>
      <c r="L15" s="800">
        <v>2646.87</v>
      </c>
      <c r="M15" s="800">
        <v>1382.0190559999999</v>
      </c>
      <c r="N15" s="801" t="s">
        <v>799</v>
      </c>
      <c r="O15" s="802">
        <v>10087.750943999998</v>
      </c>
      <c r="P15" s="802">
        <v>2646.87</v>
      </c>
      <c r="Q15" s="802">
        <v>1382.0190559999999</v>
      </c>
      <c r="R15" s="801" t="s">
        <v>799</v>
      </c>
      <c r="S15" s="802"/>
      <c r="T15" s="802"/>
      <c r="U15" s="802"/>
      <c r="V15" s="803"/>
    </row>
    <row r="16" spans="1:24" s="107" customFormat="1" ht="45.75" customHeight="1" x14ac:dyDescent="0.2">
      <c r="A16" s="93">
        <v>2</v>
      </c>
      <c r="B16" s="108" t="s">
        <v>141</v>
      </c>
      <c r="C16" s="797">
        <v>14439.464855999999</v>
      </c>
      <c r="D16" s="797">
        <v>3788.6925000000001</v>
      </c>
      <c r="E16" s="797">
        <v>1978.2026439999997</v>
      </c>
      <c r="F16" s="798" t="s">
        <v>798</v>
      </c>
      <c r="G16" s="799">
        <v>14439.464855999999</v>
      </c>
      <c r="H16" s="799">
        <v>3788.6925000000001</v>
      </c>
      <c r="I16" s="799">
        <v>1978.2026439999997</v>
      </c>
      <c r="J16" s="798" t="s">
        <v>798</v>
      </c>
      <c r="K16" s="797">
        <f t="shared" ref="K16:K17" si="0">C16</f>
        <v>14439.464855999999</v>
      </c>
      <c r="L16" s="1176" t="s">
        <v>800</v>
      </c>
      <c r="M16" s="1177"/>
      <c r="N16" s="1177"/>
      <c r="O16" s="1177"/>
      <c r="P16" s="1177"/>
      <c r="Q16" s="1177"/>
      <c r="R16" s="1177"/>
      <c r="S16" s="1177"/>
      <c r="T16" s="1177"/>
      <c r="U16" s="1177"/>
      <c r="V16" s="1178"/>
    </row>
    <row r="17" spans="1:22" s="107" customFormat="1" ht="45.75" customHeight="1" x14ac:dyDescent="0.2">
      <c r="A17" s="93">
        <v>3</v>
      </c>
      <c r="B17" s="108" t="s">
        <v>142</v>
      </c>
      <c r="C17" s="797">
        <v>14738.539247999999</v>
      </c>
      <c r="D17" s="797">
        <v>3867.165</v>
      </c>
      <c r="E17" s="797">
        <v>2019.1757519999999</v>
      </c>
      <c r="F17" s="1019" t="s">
        <v>991</v>
      </c>
      <c r="G17" s="799">
        <v>14738.539247999999</v>
      </c>
      <c r="H17" s="799">
        <v>3867.165</v>
      </c>
      <c r="I17" s="799">
        <v>2019.1757519999999</v>
      </c>
      <c r="J17" s="1019" t="s">
        <v>991</v>
      </c>
      <c r="K17" s="797">
        <f t="shared" si="0"/>
        <v>14738.539247999999</v>
      </c>
      <c r="L17" s="1179"/>
      <c r="M17" s="1180"/>
      <c r="N17" s="1180"/>
      <c r="O17" s="1180"/>
      <c r="P17" s="1180"/>
      <c r="Q17" s="1180"/>
      <c r="R17" s="1180"/>
      <c r="S17" s="1180"/>
      <c r="T17" s="1180"/>
      <c r="U17" s="1180"/>
      <c r="V17" s="1181"/>
    </row>
    <row r="18" spans="1:22" s="107" customFormat="1" ht="45.75" customHeight="1" x14ac:dyDescent="0.2">
      <c r="A18" s="1167" t="s">
        <v>196</v>
      </c>
      <c r="B18" s="1168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</row>
    <row r="19" spans="1:22" s="107" customFormat="1" ht="45.75" customHeight="1" x14ac:dyDescent="0.2">
      <c r="A19" s="93">
        <v>4</v>
      </c>
      <c r="B19" s="108" t="s">
        <v>184</v>
      </c>
      <c r="C19" s="800">
        <v>0</v>
      </c>
      <c r="D19" s="800">
        <v>0</v>
      </c>
      <c r="E19" s="800">
        <v>0</v>
      </c>
      <c r="F19" s="800">
        <v>0</v>
      </c>
      <c r="G19" s="800">
        <v>0</v>
      </c>
      <c r="H19" s="800">
        <v>0</v>
      </c>
      <c r="I19" s="800">
        <v>0</v>
      </c>
      <c r="J19" s="800">
        <v>0</v>
      </c>
      <c r="K19" s="800">
        <v>0</v>
      </c>
      <c r="L19" s="800">
        <v>0</v>
      </c>
      <c r="M19" s="800">
        <v>0</v>
      </c>
      <c r="N19" s="800">
        <v>0</v>
      </c>
      <c r="O19" s="800">
        <v>0</v>
      </c>
      <c r="P19" s="800">
        <v>0</v>
      </c>
      <c r="Q19" s="800">
        <v>0</v>
      </c>
      <c r="R19" s="800">
        <v>0</v>
      </c>
      <c r="S19" s="800">
        <v>0</v>
      </c>
      <c r="T19" s="800">
        <v>0</v>
      </c>
      <c r="U19" s="800">
        <v>0</v>
      </c>
      <c r="V19" s="800">
        <v>0</v>
      </c>
    </row>
    <row r="20" spans="1:22" s="107" customFormat="1" ht="45.75" customHeight="1" x14ac:dyDescent="0.2">
      <c r="A20" s="93">
        <v>5</v>
      </c>
      <c r="B20" s="108" t="s">
        <v>120</v>
      </c>
      <c r="C20" s="800">
        <v>0</v>
      </c>
      <c r="D20" s="800">
        <v>0</v>
      </c>
      <c r="E20" s="800">
        <v>0</v>
      </c>
      <c r="F20" s="800">
        <v>0</v>
      </c>
      <c r="G20" s="800">
        <v>0</v>
      </c>
      <c r="H20" s="800">
        <v>0</v>
      </c>
      <c r="I20" s="800">
        <v>0</v>
      </c>
      <c r="J20" s="800">
        <v>0</v>
      </c>
      <c r="K20" s="800">
        <v>0</v>
      </c>
      <c r="L20" s="800">
        <v>0</v>
      </c>
      <c r="M20" s="800">
        <v>0</v>
      </c>
      <c r="N20" s="800">
        <v>0</v>
      </c>
      <c r="O20" s="800">
        <v>0</v>
      </c>
      <c r="P20" s="800">
        <v>0</v>
      </c>
      <c r="Q20" s="800">
        <v>0</v>
      </c>
      <c r="R20" s="800">
        <v>0</v>
      </c>
      <c r="S20" s="800">
        <v>0</v>
      </c>
      <c r="T20" s="800">
        <v>0</v>
      </c>
      <c r="U20" s="800">
        <v>0</v>
      </c>
      <c r="V20" s="800">
        <v>0</v>
      </c>
    </row>
    <row r="21" spans="1:22" ht="33" customHeight="1" x14ac:dyDescent="0.2"/>
    <row r="22" spans="1:22" ht="69.75" customHeight="1" x14ac:dyDescent="0.2">
      <c r="A22" s="63" t="s">
        <v>664</v>
      </c>
      <c r="Q22" s="1104" t="s">
        <v>646</v>
      </c>
      <c r="R22" s="1104"/>
      <c r="S22" s="1104"/>
      <c r="T22" s="1104"/>
      <c r="U22" s="1104"/>
    </row>
    <row r="28" spans="1:22" x14ac:dyDescent="0.2">
      <c r="B28" s="63" t="s">
        <v>668</v>
      </c>
    </row>
    <row r="29" spans="1:22" x14ac:dyDescent="0.2">
      <c r="B29" s="63" t="s">
        <v>666</v>
      </c>
    </row>
    <row r="30" spans="1:22" x14ac:dyDescent="0.2">
      <c r="B30" s="63" t="s">
        <v>667</v>
      </c>
    </row>
  </sheetData>
  <mergeCells count="30">
    <mergeCell ref="Q22:U22"/>
    <mergeCell ref="O8:V8"/>
    <mergeCell ref="C9:C12"/>
    <mergeCell ref="D9:D12"/>
    <mergeCell ref="E9:E12"/>
    <mergeCell ref="G9:J9"/>
    <mergeCell ref="V10:V12"/>
    <mergeCell ref="S10:U11"/>
    <mergeCell ref="K9:N9"/>
    <mergeCell ref="O9:R9"/>
    <mergeCell ref="S9:V9"/>
    <mergeCell ref="G10:I11"/>
    <mergeCell ref="J10:J12"/>
    <mergeCell ref="K10:M11"/>
    <mergeCell ref="N10:N12"/>
    <mergeCell ref="R10:R12"/>
    <mergeCell ref="C3:N3"/>
    <mergeCell ref="B5:S5"/>
    <mergeCell ref="U5:V5"/>
    <mergeCell ref="A7:B7"/>
    <mergeCell ref="O7:V7"/>
    <mergeCell ref="A14:B14"/>
    <mergeCell ref="A18:B18"/>
    <mergeCell ref="O10:Q11"/>
    <mergeCell ref="A8:A12"/>
    <mergeCell ref="B8:B12"/>
    <mergeCell ref="C8:E8"/>
    <mergeCell ref="F8:F12"/>
    <mergeCell ref="G8:N8"/>
    <mergeCell ref="L16:V17"/>
  </mergeCells>
  <printOptions horizontalCentered="1"/>
  <pageMargins left="0.59055118110236227" right="7.874015748031496E-2" top="0.19685039370078741" bottom="0.19685039370078741" header="7.874015748031496E-2" footer="7.874015748031496E-2"/>
  <pageSetup paperSize="9" scale="65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theme="5" tint="0.59999389629810485"/>
  </sheetPr>
  <dimension ref="A1:N27"/>
  <sheetViews>
    <sheetView view="pageBreakPreview" topLeftCell="A9" zoomScaleNormal="70" zoomScaleSheetLayoutView="100" workbookViewId="0">
      <selection activeCell="A25" sqref="A25:M25"/>
    </sheetView>
  </sheetViews>
  <sheetFormatPr defaultColWidth="9.140625" defaultRowHeight="12.75" x14ac:dyDescent="0.2"/>
  <cols>
    <col min="1" max="1" width="5.5703125" style="790" customWidth="1"/>
    <col min="2" max="2" width="14.85546875" style="790" customWidth="1"/>
    <col min="3" max="3" width="10.7109375" style="790" customWidth="1"/>
    <col min="4" max="4" width="12.85546875" style="790" customWidth="1"/>
    <col min="5" max="5" width="8.7109375" style="819" customWidth="1"/>
    <col min="6" max="6" width="8.42578125" style="819" customWidth="1"/>
    <col min="7" max="7" width="8" style="819" customWidth="1"/>
    <col min="8" max="8" width="8.140625" style="819" customWidth="1"/>
    <col min="9" max="9" width="9.28515625" style="819" customWidth="1"/>
    <col min="10" max="10" width="8.140625" style="819" customWidth="1"/>
    <col min="11" max="11" width="8.42578125" style="819" customWidth="1"/>
    <col min="12" max="12" width="8.140625" style="819" customWidth="1"/>
    <col min="13" max="13" width="9.85546875" style="819" customWidth="1"/>
    <col min="14" max="14" width="10.42578125" style="819" customWidth="1"/>
    <col min="15" max="16384" width="9.140625" style="819"/>
  </cols>
  <sheetData>
    <row r="1" spans="1:14" ht="12.75" customHeight="1" x14ac:dyDescent="0.2">
      <c r="D1" s="1280"/>
      <c r="E1" s="1280"/>
      <c r="F1" s="790"/>
      <c r="G1" s="790"/>
      <c r="H1" s="790"/>
      <c r="I1" s="790"/>
      <c r="J1" s="790"/>
      <c r="K1" s="790"/>
      <c r="L1" s="790"/>
      <c r="M1" s="1580" t="s">
        <v>862</v>
      </c>
      <c r="N1" s="1580"/>
    </row>
    <row r="2" spans="1:14" ht="15.75" x14ac:dyDescent="0.25">
      <c r="A2" s="1581" t="s">
        <v>0</v>
      </c>
      <c r="B2" s="1581"/>
      <c r="C2" s="1581"/>
      <c r="D2" s="1581"/>
      <c r="E2" s="1581"/>
      <c r="F2" s="1581"/>
      <c r="G2" s="1581"/>
      <c r="H2" s="1581"/>
      <c r="I2" s="1581"/>
      <c r="J2" s="1581"/>
      <c r="K2" s="1581"/>
      <c r="L2" s="1581"/>
      <c r="M2" s="1581"/>
      <c r="N2" s="1581"/>
    </row>
    <row r="3" spans="1:14" ht="18" x14ac:dyDescent="0.25">
      <c r="A3" s="1582" t="s">
        <v>793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</row>
    <row r="4" spans="1:14" ht="9.75" customHeight="1" x14ac:dyDescent="0.2">
      <c r="A4" s="1583" t="s">
        <v>863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</row>
    <row r="5" spans="1:14" s="820" customFormat="1" ht="18.75" customHeight="1" x14ac:dyDescent="0.2">
      <c r="A5" s="1583"/>
      <c r="B5" s="1583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</row>
    <row r="6" spans="1:14" x14ac:dyDescent="0.2">
      <c r="A6" s="1579"/>
      <c r="B6" s="1579"/>
      <c r="C6" s="1579"/>
      <c r="D6" s="1579"/>
      <c r="E6" s="1579"/>
      <c r="F6" s="1579"/>
      <c r="G6" s="1579"/>
      <c r="H6" s="1579"/>
      <c r="I6" s="1579"/>
      <c r="J6" s="1579"/>
      <c r="K6" s="1579"/>
      <c r="L6" s="1579"/>
      <c r="M6" s="1579"/>
      <c r="N6" s="1579"/>
    </row>
    <row r="7" spans="1:14" x14ac:dyDescent="0.2">
      <c r="A7" s="1585" t="s">
        <v>661</v>
      </c>
      <c r="B7" s="1585"/>
      <c r="D7" s="821"/>
      <c r="E7" s="790"/>
      <c r="F7" s="790"/>
      <c r="G7" s="790"/>
      <c r="H7" s="1586"/>
      <c r="I7" s="1586"/>
      <c r="J7" s="1586"/>
      <c r="K7" s="1586"/>
      <c r="L7" s="1586"/>
      <c r="M7" s="1586"/>
      <c r="N7" s="1586"/>
    </row>
    <row r="8" spans="1:14" ht="24.75" customHeight="1" x14ac:dyDescent="0.2">
      <c r="A8" s="1587" t="s">
        <v>2</v>
      </c>
      <c r="B8" s="1587" t="s">
        <v>3</v>
      </c>
      <c r="C8" s="1588" t="s">
        <v>470</v>
      </c>
      <c r="D8" s="1590" t="s">
        <v>76</v>
      </c>
      <c r="E8" s="1592" t="s">
        <v>77</v>
      </c>
      <c r="F8" s="1593"/>
      <c r="G8" s="1593"/>
      <c r="H8" s="1594"/>
      <c r="I8" s="1587" t="s">
        <v>855</v>
      </c>
      <c r="J8" s="1587"/>
      <c r="K8" s="1587"/>
      <c r="L8" s="1587"/>
      <c r="M8" s="1587"/>
      <c r="N8" s="1587"/>
    </row>
    <row r="9" spans="1:14" ht="44.45" customHeight="1" x14ac:dyDescent="0.2">
      <c r="A9" s="1587"/>
      <c r="B9" s="1587"/>
      <c r="C9" s="1589"/>
      <c r="D9" s="1591"/>
      <c r="E9" s="945" t="s">
        <v>165</v>
      </c>
      <c r="F9" s="945" t="s">
        <v>107</v>
      </c>
      <c r="G9" s="945" t="s">
        <v>108</v>
      </c>
      <c r="H9" s="945" t="s">
        <v>421</v>
      </c>
      <c r="I9" s="945" t="s">
        <v>13</v>
      </c>
      <c r="J9" s="945" t="s">
        <v>856</v>
      </c>
      <c r="K9" s="945" t="s">
        <v>857</v>
      </c>
      <c r="L9" s="945" t="s">
        <v>858</v>
      </c>
      <c r="M9" s="945" t="s">
        <v>859</v>
      </c>
      <c r="N9" s="945" t="s">
        <v>860</v>
      </c>
    </row>
    <row r="10" spans="1:14" s="823" customFormat="1" x14ac:dyDescent="0.2">
      <c r="A10" s="822">
        <v>1</v>
      </c>
      <c r="B10" s="822">
        <v>2</v>
      </c>
      <c r="C10" s="822">
        <v>3</v>
      </c>
      <c r="D10" s="822">
        <v>8</v>
      </c>
      <c r="E10" s="822">
        <v>9</v>
      </c>
      <c r="F10" s="822">
        <v>10</v>
      </c>
      <c r="G10" s="822">
        <v>11</v>
      </c>
      <c r="H10" s="822">
        <v>12</v>
      </c>
      <c r="I10" s="822">
        <v>13</v>
      </c>
      <c r="J10" s="822">
        <v>14</v>
      </c>
      <c r="K10" s="822">
        <v>15</v>
      </c>
      <c r="L10" s="822">
        <v>16</v>
      </c>
      <c r="M10" s="822">
        <v>17</v>
      </c>
      <c r="N10" s="822">
        <v>18</v>
      </c>
    </row>
    <row r="11" spans="1:14" ht="21" customHeight="1" x14ac:dyDescent="0.2">
      <c r="A11" s="486">
        <v>1</v>
      </c>
      <c r="B11" s="487" t="s">
        <v>647</v>
      </c>
      <c r="C11" s="432">
        <v>0</v>
      </c>
      <c r="D11" s="432">
        <v>42</v>
      </c>
      <c r="E11" s="947">
        <v>0</v>
      </c>
      <c r="F11" s="947">
        <f>E11</f>
        <v>0</v>
      </c>
      <c r="G11" s="432">
        <v>0</v>
      </c>
      <c r="H11" s="432">
        <v>0</v>
      </c>
      <c r="I11" s="432">
        <f>C11*D11*0.00002</f>
        <v>0</v>
      </c>
      <c r="J11" s="1595" t="s">
        <v>957</v>
      </c>
      <c r="K11" s="1595"/>
      <c r="L11" s="1595"/>
      <c r="M11" s="1595"/>
      <c r="N11" s="1595"/>
    </row>
    <row r="12" spans="1:14" ht="21" customHeight="1" x14ac:dyDescent="0.2">
      <c r="A12" s="486">
        <v>2</v>
      </c>
      <c r="B12" s="487" t="s">
        <v>648</v>
      </c>
      <c r="C12" s="432">
        <v>1582</v>
      </c>
      <c r="D12" s="432">
        <v>42</v>
      </c>
      <c r="E12" s="947">
        <f>C12*0.0001*D12</f>
        <v>6.6444000000000001</v>
      </c>
      <c r="F12" s="947">
        <f t="shared" ref="F12:F23" si="0">E12</f>
        <v>6.6444000000000001</v>
      </c>
      <c r="G12" s="432">
        <v>0</v>
      </c>
      <c r="H12" s="432">
        <v>0</v>
      </c>
      <c r="I12" s="432">
        <f t="shared" ref="I12:I23" si="1">C12*D12*0.00002</f>
        <v>1.3288800000000001</v>
      </c>
      <c r="J12" s="1595"/>
      <c r="K12" s="1595"/>
      <c r="L12" s="1595"/>
      <c r="M12" s="1595"/>
      <c r="N12" s="1595"/>
    </row>
    <row r="13" spans="1:14" ht="21" customHeight="1" x14ac:dyDescent="0.2">
      <c r="A13" s="486">
        <v>3</v>
      </c>
      <c r="B13" s="487" t="s">
        <v>649</v>
      </c>
      <c r="C13" s="432">
        <v>0</v>
      </c>
      <c r="D13" s="432">
        <v>42</v>
      </c>
      <c r="E13" s="947">
        <v>0</v>
      </c>
      <c r="F13" s="947">
        <f t="shared" si="0"/>
        <v>0</v>
      </c>
      <c r="G13" s="432">
        <v>0</v>
      </c>
      <c r="H13" s="432">
        <v>0</v>
      </c>
      <c r="I13" s="432">
        <f t="shared" si="1"/>
        <v>0</v>
      </c>
      <c r="J13" s="1595"/>
      <c r="K13" s="1595"/>
      <c r="L13" s="1595"/>
      <c r="M13" s="1595"/>
      <c r="N13" s="1595"/>
    </row>
    <row r="14" spans="1:14" ht="21" customHeight="1" x14ac:dyDescent="0.2">
      <c r="A14" s="486">
        <v>4</v>
      </c>
      <c r="B14" s="487" t="s">
        <v>650</v>
      </c>
      <c r="C14" s="432">
        <v>0</v>
      </c>
      <c r="D14" s="432">
        <v>42</v>
      </c>
      <c r="E14" s="947">
        <v>0</v>
      </c>
      <c r="F14" s="947">
        <f t="shared" si="0"/>
        <v>0</v>
      </c>
      <c r="G14" s="432">
        <v>0</v>
      </c>
      <c r="H14" s="432">
        <v>0</v>
      </c>
      <c r="I14" s="432">
        <f t="shared" si="1"/>
        <v>0</v>
      </c>
      <c r="J14" s="1595"/>
      <c r="K14" s="1595"/>
      <c r="L14" s="1595"/>
      <c r="M14" s="1595"/>
      <c r="N14" s="1595"/>
    </row>
    <row r="15" spans="1:14" ht="21" customHeight="1" x14ac:dyDescent="0.2">
      <c r="A15" s="486">
        <v>5</v>
      </c>
      <c r="B15" s="487" t="s">
        <v>651</v>
      </c>
      <c r="C15" s="432">
        <v>0</v>
      </c>
      <c r="D15" s="432">
        <v>42</v>
      </c>
      <c r="E15" s="947">
        <v>0</v>
      </c>
      <c r="F15" s="947">
        <f t="shared" si="0"/>
        <v>0</v>
      </c>
      <c r="G15" s="432">
        <v>0</v>
      </c>
      <c r="H15" s="432">
        <v>0</v>
      </c>
      <c r="I15" s="432">
        <f t="shared" si="1"/>
        <v>0</v>
      </c>
      <c r="J15" s="1595"/>
      <c r="K15" s="1595"/>
      <c r="L15" s="1595"/>
      <c r="M15" s="1595"/>
      <c r="N15" s="1595"/>
    </row>
    <row r="16" spans="1:14" ht="21" customHeight="1" x14ac:dyDescent="0.2">
      <c r="A16" s="486">
        <v>6</v>
      </c>
      <c r="B16" s="487" t="s">
        <v>652</v>
      </c>
      <c r="C16" s="432">
        <v>0</v>
      </c>
      <c r="D16" s="432">
        <v>42</v>
      </c>
      <c r="E16" s="947">
        <v>0</v>
      </c>
      <c r="F16" s="947">
        <f t="shared" si="0"/>
        <v>0</v>
      </c>
      <c r="G16" s="432">
        <v>0</v>
      </c>
      <c r="H16" s="432">
        <v>0</v>
      </c>
      <c r="I16" s="432">
        <f t="shared" si="1"/>
        <v>0</v>
      </c>
      <c r="J16" s="1595"/>
      <c r="K16" s="1595"/>
      <c r="L16" s="1595"/>
      <c r="M16" s="1595"/>
      <c r="N16" s="1595"/>
    </row>
    <row r="17" spans="1:14" ht="21" customHeight="1" x14ac:dyDescent="0.2">
      <c r="A17" s="486">
        <v>7</v>
      </c>
      <c r="B17" s="487" t="s">
        <v>653</v>
      </c>
      <c r="C17" s="432">
        <v>0</v>
      </c>
      <c r="D17" s="432">
        <v>42</v>
      </c>
      <c r="E17" s="947">
        <v>0</v>
      </c>
      <c r="F17" s="947">
        <f t="shared" si="0"/>
        <v>0</v>
      </c>
      <c r="G17" s="432">
        <v>0</v>
      </c>
      <c r="H17" s="432">
        <v>0</v>
      </c>
      <c r="I17" s="432">
        <f t="shared" si="1"/>
        <v>0</v>
      </c>
      <c r="J17" s="1595"/>
      <c r="K17" s="1595"/>
      <c r="L17" s="1595"/>
      <c r="M17" s="1595"/>
      <c r="N17" s="1595"/>
    </row>
    <row r="18" spans="1:14" ht="21" customHeight="1" x14ac:dyDescent="0.2">
      <c r="A18" s="486">
        <v>8</v>
      </c>
      <c r="B18" s="487" t="s">
        <v>654</v>
      </c>
      <c r="C18" s="432">
        <v>147133</v>
      </c>
      <c r="D18" s="432">
        <v>42</v>
      </c>
      <c r="E18" s="947">
        <f t="shared" ref="E18:E19" si="2">C18*0.0001*D18</f>
        <v>617.95860000000005</v>
      </c>
      <c r="F18" s="947">
        <f t="shared" si="0"/>
        <v>617.95860000000005</v>
      </c>
      <c r="G18" s="432">
        <v>0</v>
      </c>
      <c r="H18" s="432">
        <v>0</v>
      </c>
      <c r="I18" s="432">
        <f t="shared" si="1"/>
        <v>123.59172000000001</v>
      </c>
      <c r="J18" s="1595"/>
      <c r="K18" s="1595"/>
      <c r="L18" s="1595"/>
      <c r="M18" s="1595"/>
      <c r="N18" s="1595"/>
    </row>
    <row r="19" spans="1:14" ht="21" customHeight="1" x14ac:dyDescent="0.2">
      <c r="A19" s="486">
        <v>9</v>
      </c>
      <c r="B19" s="487" t="s">
        <v>655</v>
      </c>
      <c r="C19" s="432">
        <v>30972</v>
      </c>
      <c r="D19" s="432">
        <v>42</v>
      </c>
      <c r="E19" s="947">
        <f t="shared" si="2"/>
        <v>130.08240000000001</v>
      </c>
      <c r="F19" s="947">
        <f t="shared" si="0"/>
        <v>130.08240000000001</v>
      </c>
      <c r="G19" s="432">
        <v>0</v>
      </c>
      <c r="H19" s="432">
        <v>0</v>
      </c>
      <c r="I19" s="432">
        <f t="shared" si="1"/>
        <v>26.016480000000001</v>
      </c>
      <c r="J19" s="1595"/>
      <c r="K19" s="1595"/>
      <c r="L19" s="1595"/>
      <c r="M19" s="1595"/>
      <c r="N19" s="1595"/>
    </row>
    <row r="20" spans="1:14" ht="21" customHeight="1" x14ac:dyDescent="0.2">
      <c r="A20" s="486">
        <v>10</v>
      </c>
      <c r="B20" s="487" t="s">
        <v>656</v>
      </c>
      <c r="C20" s="432">
        <v>0</v>
      </c>
      <c r="D20" s="432">
        <v>42</v>
      </c>
      <c r="E20" s="947">
        <v>0</v>
      </c>
      <c r="F20" s="947">
        <f t="shared" si="0"/>
        <v>0</v>
      </c>
      <c r="G20" s="432">
        <v>0</v>
      </c>
      <c r="H20" s="432">
        <v>0</v>
      </c>
      <c r="I20" s="432">
        <f t="shared" si="1"/>
        <v>0</v>
      </c>
      <c r="J20" s="1595"/>
      <c r="K20" s="1595"/>
      <c r="L20" s="1595"/>
      <c r="M20" s="1595"/>
      <c r="N20" s="1595"/>
    </row>
    <row r="21" spans="1:14" ht="21" customHeight="1" x14ac:dyDescent="0.2">
      <c r="A21" s="486">
        <v>11</v>
      </c>
      <c r="B21" s="487" t="s">
        <v>657</v>
      </c>
      <c r="C21" s="432">
        <v>24345</v>
      </c>
      <c r="D21" s="432">
        <v>42</v>
      </c>
      <c r="E21" s="947">
        <f>C21*0.0001*D21</f>
        <v>102.24900000000001</v>
      </c>
      <c r="F21" s="947">
        <f t="shared" si="0"/>
        <v>102.24900000000001</v>
      </c>
      <c r="G21" s="432">
        <v>0</v>
      </c>
      <c r="H21" s="432">
        <v>0</v>
      </c>
      <c r="I21" s="432">
        <f t="shared" si="1"/>
        <v>20.449800000000003</v>
      </c>
      <c r="J21" s="1595"/>
      <c r="K21" s="1595"/>
      <c r="L21" s="1595"/>
      <c r="M21" s="1595"/>
      <c r="N21" s="1595"/>
    </row>
    <row r="22" spans="1:14" ht="21" customHeight="1" x14ac:dyDescent="0.2">
      <c r="A22" s="486">
        <v>12</v>
      </c>
      <c r="B22" s="487" t="s">
        <v>658</v>
      </c>
      <c r="C22" s="432">
        <v>38641</v>
      </c>
      <c r="D22" s="432">
        <v>42</v>
      </c>
      <c r="E22" s="947">
        <f>C22*0.0001*D22</f>
        <v>162.29220000000001</v>
      </c>
      <c r="F22" s="947">
        <f>E22</f>
        <v>162.29220000000001</v>
      </c>
      <c r="G22" s="432">
        <v>0</v>
      </c>
      <c r="H22" s="432">
        <v>0</v>
      </c>
      <c r="I22" s="432">
        <f t="shared" si="1"/>
        <v>32.458440000000003</v>
      </c>
      <c r="J22" s="1595"/>
      <c r="K22" s="1595"/>
      <c r="L22" s="1595"/>
      <c r="M22" s="1595"/>
      <c r="N22" s="1595"/>
    </row>
    <row r="23" spans="1:14" ht="21" customHeight="1" x14ac:dyDescent="0.2">
      <c r="A23" s="486">
        <v>13</v>
      </c>
      <c r="B23" s="487" t="s">
        <v>659</v>
      </c>
      <c r="C23" s="432">
        <v>0</v>
      </c>
      <c r="D23" s="432">
        <v>42</v>
      </c>
      <c r="E23" s="947">
        <v>0</v>
      </c>
      <c r="F23" s="947">
        <f t="shared" si="0"/>
        <v>0</v>
      </c>
      <c r="G23" s="432">
        <v>0</v>
      </c>
      <c r="H23" s="432">
        <v>0</v>
      </c>
      <c r="I23" s="432">
        <f t="shared" si="1"/>
        <v>0</v>
      </c>
      <c r="J23" s="1595"/>
      <c r="K23" s="1595"/>
      <c r="L23" s="1595"/>
      <c r="M23" s="1595"/>
      <c r="N23" s="1595"/>
    </row>
    <row r="24" spans="1:14" ht="21" customHeight="1" x14ac:dyDescent="0.2">
      <c r="A24" s="1400" t="s">
        <v>660</v>
      </c>
      <c r="B24" s="1402"/>
      <c r="C24" s="936">
        <f>SUM(C11:C23)</f>
        <v>242673</v>
      </c>
      <c r="D24" s="936" t="s">
        <v>7</v>
      </c>
      <c r="E24" s="948">
        <f t="shared" ref="E24:N24" si="3">SUM(E11:E23)</f>
        <v>1019.2266000000001</v>
      </c>
      <c r="F24" s="948">
        <f t="shared" si="3"/>
        <v>1019.2266000000001</v>
      </c>
      <c r="G24" s="936">
        <f t="shared" si="3"/>
        <v>0</v>
      </c>
      <c r="H24" s="936">
        <f t="shared" si="3"/>
        <v>0</v>
      </c>
      <c r="I24" s="936">
        <f t="shared" si="3"/>
        <v>203.84532000000002</v>
      </c>
      <c r="J24" s="936">
        <f>SUM(J11:J23)</f>
        <v>0</v>
      </c>
      <c r="K24" s="946">
        <f t="shared" si="3"/>
        <v>0</v>
      </c>
      <c r="L24" s="946">
        <f t="shared" si="3"/>
        <v>0</v>
      </c>
      <c r="M24" s="946">
        <f t="shared" si="3"/>
        <v>0</v>
      </c>
      <c r="N24" s="946">
        <f t="shared" si="3"/>
        <v>0</v>
      </c>
    </row>
    <row r="25" spans="1:14" x14ac:dyDescent="0.2">
      <c r="A25" s="1596" t="s">
        <v>1005</v>
      </c>
      <c r="B25" s="1596"/>
      <c r="C25" s="1596"/>
      <c r="D25" s="1596"/>
      <c r="E25" s="1596"/>
      <c r="F25" s="1596"/>
      <c r="G25" s="1596"/>
      <c r="H25" s="1596"/>
      <c r="I25" s="1596"/>
      <c r="J25" s="1596"/>
      <c r="K25" s="1596"/>
      <c r="L25" s="1596"/>
      <c r="M25" s="1596"/>
      <c r="N25" s="790"/>
    </row>
    <row r="26" spans="1:14" ht="62.25" customHeight="1" x14ac:dyDescent="0.2">
      <c r="A26" s="824" t="s">
        <v>9</v>
      </c>
      <c r="B26" s="935"/>
      <c r="C26" s="935"/>
      <c r="D26" s="824"/>
      <c r="E26" s="935"/>
      <c r="F26" s="824"/>
      <c r="G26" s="824"/>
      <c r="H26" s="824"/>
      <c r="I26" s="824"/>
      <c r="J26" s="1104" t="s">
        <v>646</v>
      </c>
      <c r="K26" s="1104"/>
      <c r="L26" s="1104"/>
      <c r="M26" s="1104"/>
      <c r="N26" s="1104"/>
    </row>
    <row r="27" spans="1:14" x14ac:dyDescent="0.2">
      <c r="A27" s="1584"/>
      <c r="B27" s="1584"/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</row>
  </sheetData>
  <mergeCells count="19">
    <mergeCell ref="A27:N27"/>
    <mergeCell ref="A7:B7"/>
    <mergeCell ref="H7:N7"/>
    <mergeCell ref="A8:A9"/>
    <mergeCell ref="B8:B9"/>
    <mergeCell ref="C8:C9"/>
    <mergeCell ref="D8:D9"/>
    <mergeCell ref="E8:H8"/>
    <mergeCell ref="I8:N8"/>
    <mergeCell ref="A24:B24"/>
    <mergeCell ref="J11:N23"/>
    <mergeCell ref="J26:N26"/>
    <mergeCell ref="A25:M25"/>
    <mergeCell ref="A6:N6"/>
    <mergeCell ref="D1:E1"/>
    <mergeCell ref="M1:N1"/>
    <mergeCell ref="A2:N2"/>
    <mergeCell ref="A3:N3"/>
    <mergeCell ref="A4:N5"/>
  </mergeCells>
  <printOptions horizontalCentered="1"/>
  <pageMargins left="0.62992125984251968" right="0.19685039370078741" top="0.23622047244094491" bottom="0.15748031496062992" header="7.874015748031496E-2" footer="7.874015748031496E-2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5" tint="0.59999389629810485"/>
    <pageSetUpPr fitToPage="1"/>
  </sheetPr>
  <dimension ref="A1:N26"/>
  <sheetViews>
    <sheetView view="pageBreakPreview" topLeftCell="A13" zoomScaleNormal="70" zoomScaleSheetLayoutView="100" workbookViewId="0">
      <selection activeCell="D28" sqref="D28"/>
    </sheetView>
  </sheetViews>
  <sheetFormatPr defaultColWidth="9.140625" defaultRowHeight="12.75" x14ac:dyDescent="0.2"/>
  <cols>
    <col min="1" max="1" width="5.5703125" style="790" customWidth="1"/>
    <col min="2" max="2" width="13.85546875" style="790" customWidth="1"/>
    <col min="3" max="3" width="10.28515625" style="790" customWidth="1"/>
    <col min="4" max="4" width="12.85546875" style="790" customWidth="1"/>
    <col min="5" max="6" width="8.7109375" style="819" customWidth="1"/>
    <col min="7" max="7" width="8" style="819" customWidth="1"/>
    <col min="8" max="8" width="8.140625" style="819" customWidth="1"/>
    <col min="9" max="9" width="9.42578125" style="819" customWidth="1"/>
    <col min="10" max="10" width="8.140625" style="819" customWidth="1"/>
    <col min="11" max="11" width="8.42578125" style="819" customWidth="1"/>
    <col min="12" max="12" width="8.140625" style="819" customWidth="1"/>
    <col min="13" max="13" width="11.28515625" style="819" customWidth="1"/>
    <col min="14" max="14" width="11.85546875" style="819" customWidth="1"/>
    <col min="15" max="16384" width="9.140625" style="819"/>
  </cols>
  <sheetData>
    <row r="1" spans="1:14" ht="12.75" customHeight="1" x14ac:dyDescent="0.2">
      <c r="D1" s="1280"/>
      <c r="E1" s="1280"/>
      <c r="F1" s="790"/>
      <c r="G1" s="790"/>
      <c r="H1" s="790"/>
      <c r="I1" s="790"/>
      <c r="J1" s="790"/>
      <c r="K1" s="790"/>
      <c r="L1" s="790"/>
      <c r="M1" s="1580" t="s">
        <v>534</v>
      </c>
      <c r="N1" s="1580"/>
    </row>
    <row r="2" spans="1:14" ht="15.75" x14ac:dyDescent="0.25">
      <c r="A2" s="1581" t="s">
        <v>0</v>
      </c>
      <c r="B2" s="1581"/>
      <c r="C2" s="1581"/>
      <c r="D2" s="1581"/>
      <c r="E2" s="1581"/>
      <c r="F2" s="1581"/>
      <c r="G2" s="1581"/>
      <c r="H2" s="1581"/>
      <c r="I2" s="1581"/>
      <c r="J2" s="1581"/>
      <c r="K2" s="1581"/>
      <c r="L2" s="1581"/>
      <c r="M2" s="1581"/>
      <c r="N2" s="1581"/>
    </row>
    <row r="3" spans="1:14" ht="18" x14ac:dyDescent="0.25">
      <c r="A3" s="1582" t="s">
        <v>793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</row>
    <row r="4" spans="1:14" ht="9.75" customHeight="1" x14ac:dyDescent="0.2">
      <c r="A4" s="1597" t="s">
        <v>861</v>
      </c>
      <c r="B4" s="1597"/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</row>
    <row r="5" spans="1:14" s="820" customFormat="1" ht="18.75" customHeight="1" x14ac:dyDescent="0.2">
      <c r="A5" s="1597"/>
      <c r="B5" s="1597"/>
      <c r="C5" s="1597"/>
      <c r="D5" s="1597"/>
      <c r="E5" s="1597"/>
      <c r="F5" s="1597"/>
      <c r="G5" s="1597"/>
      <c r="H5" s="1597"/>
      <c r="I5" s="1597"/>
      <c r="J5" s="1597"/>
      <c r="K5" s="1597"/>
      <c r="L5" s="1597"/>
      <c r="M5" s="1597"/>
      <c r="N5" s="1597"/>
    </row>
    <row r="6" spans="1:14" x14ac:dyDescent="0.2">
      <c r="A6" s="1579"/>
      <c r="B6" s="1579"/>
      <c r="C6" s="1579"/>
      <c r="D6" s="1579"/>
      <c r="E6" s="1579"/>
      <c r="F6" s="1579"/>
      <c r="G6" s="1579"/>
      <c r="H6" s="1579"/>
      <c r="I6" s="1579"/>
      <c r="J6" s="1579"/>
      <c r="K6" s="1579"/>
      <c r="L6" s="1579"/>
      <c r="M6" s="1579"/>
      <c r="N6" s="1579"/>
    </row>
    <row r="7" spans="1:14" x14ac:dyDescent="0.2">
      <c r="A7" s="1598" t="s">
        <v>661</v>
      </c>
      <c r="B7" s="1598"/>
      <c r="C7" s="1598"/>
      <c r="D7" s="821"/>
      <c r="E7" s="790"/>
      <c r="F7" s="790"/>
      <c r="G7" s="790"/>
      <c r="H7" s="1586"/>
      <c r="I7" s="1586"/>
      <c r="J7" s="1586"/>
      <c r="K7" s="1586"/>
      <c r="L7" s="1586"/>
      <c r="M7" s="1586"/>
      <c r="N7" s="1586"/>
    </row>
    <row r="8" spans="1:14" ht="24.75" customHeight="1" x14ac:dyDescent="0.2">
      <c r="A8" s="1587" t="s">
        <v>2</v>
      </c>
      <c r="B8" s="1587" t="s">
        <v>3</v>
      </c>
      <c r="C8" s="1588" t="s">
        <v>470</v>
      </c>
      <c r="D8" s="1590" t="s">
        <v>76</v>
      </c>
      <c r="E8" s="1587" t="s">
        <v>77</v>
      </c>
      <c r="F8" s="1587"/>
      <c r="G8" s="1587"/>
      <c r="H8" s="1587"/>
      <c r="I8" s="1587" t="s">
        <v>855</v>
      </c>
      <c r="J8" s="1587"/>
      <c r="K8" s="1587"/>
      <c r="L8" s="1587"/>
      <c r="M8" s="1587"/>
      <c r="N8" s="1587"/>
    </row>
    <row r="9" spans="1:14" ht="44.45" customHeight="1" x14ac:dyDescent="0.2">
      <c r="A9" s="1587"/>
      <c r="B9" s="1587"/>
      <c r="C9" s="1589"/>
      <c r="D9" s="1591"/>
      <c r="E9" s="945" t="s">
        <v>165</v>
      </c>
      <c r="F9" s="945" t="s">
        <v>107</v>
      </c>
      <c r="G9" s="945" t="s">
        <v>108</v>
      </c>
      <c r="H9" s="945" t="s">
        <v>421</v>
      </c>
      <c r="I9" s="945" t="s">
        <v>13</v>
      </c>
      <c r="J9" s="945" t="s">
        <v>856</v>
      </c>
      <c r="K9" s="945" t="s">
        <v>857</v>
      </c>
      <c r="L9" s="945" t="s">
        <v>858</v>
      </c>
      <c r="M9" s="945" t="s">
        <v>859</v>
      </c>
      <c r="N9" s="945" t="s">
        <v>860</v>
      </c>
    </row>
    <row r="10" spans="1:14" s="823" customFormat="1" x14ac:dyDescent="0.2">
      <c r="A10" s="945">
        <v>1</v>
      </c>
      <c r="B10" s="945">
        <v>2</v>
      </c>
      <c r="C10" s="945">
        <v>3</v>
      </c>
      <c r="D10" s="945">
        <v>8</v>
      </c>
      <c r="E10" s="945">
        <v>9</v>
      </c>
      <c r="F10" s="945">
        <v>10</v>
      </c>
      <c r="G10" s="945">
        <v>11</v>
      </c>
      <c r="H10" s="945">
        <v>12</v>
      </c>
      <c r="I10" s="945">
        <v>13</v>
      </c>
      <c r="J10" s="945">
        <v>14</v>
      </c>
      <c r="K10" s="945">
        <v>15</v>
      </c>
      <c r="L10" s="945">
        <v>16</v>
      </c>
      <c r="M10" s="945">
        <v>17</v>
      </c>
      <c r="N10" s="945">
        <v>18</v>
      </c>
    </row>
    <row r="11" spans="1:14" ht="22.5" customHeight="1" x14ac:dyDescent="0.2">
      <c r="A11" s="486">
        <v>1</v>
      </c>
      <c r="B11" s="487" t="s">
        <v>647</v>
      </c>
      <c r="C11" s="432">
        <v>0</v>
      </c>
      <c r="D11" s="432">
        <v>42</v>
      </c>
      <c r="E11" s="947">
        <v>0</v>
      </c>
      <c r="F11" s="947">
        <f>E11</f>
        <v>0</v>
      </c>
      <c r="G11" s="432">
        <v>0</v>
      </c>
      <c r="H11" s="432">
        <v>0</v>
      </c>
      <c r="I11" s="949">
        <f>C11*D11*0.00003</f>
        <v>0</v>
      </c>
      <c r="J11" s="1595" t="s">
        <v>957</v>
      </c>
      <c r="K11" s="1595"/>
      <c r="L11" s="1595"/>
      <c r="M11" s="1595"/>
      <c r="N11" s="1595"/>
    </row>
    <row r="12" spans="1:14" ht="22.5" customHeight="1" x14ac:dyDescent="0.2">
      <c r="A12" s="486">
        <v>2</v>
      </c>
      <c r="B12" s="487" t="s">
        <v>648</v>
      </c>
      <c r="C12" s="432">
        <v>1350</v>
      </c>
      <c r="D12" s="432">
        <v>42</v>
      </c>
      <c r="E12" s="947">
        <f>C12*0.00015*D12</f>
        <v>8.504999999999999</v>
      </c>
      <c r="F12" s="947">
        <f t="shared" ref="F12:F23" si="0">E12</f>
        <v>8.504999999999999</v>
      </c>
      <c r="G12" s="432">
        <v>0</v>
      </c>
      <c r="H12" s="432">
        <v>0</v>
      </c>
      <c r="I12" s="949">
        <f t="shared" ref="I12:I23" si="1">C12*D12*0.00003</f>
        <v>1.7010000000000001</v>
      </c>
      <c r="J12" s="1595"/>
      <c r="K12" s="1595"/>
      <c r="L12" s="1595"/>
      <c r="M12" s="1595"/>
      <c r="N12" s="1595"/>
    </row>
    <row r="13" spans="1:14" ht="22.5" customHeight="1" x14ac:dyDescent="0.2">
      <c r="A13" s="486">
        <v>3</v>
      </c>
      <c r="B13" s="487" t="s">
        <v>649</v>
      </c>
      <c r="C13" s="432">
        <v>0</v>
      </c>
      <c r="D13" s="432">
        <v>42</v>
      </c>
      <c r="E13" s="947">
        <v>0</v>
      </c>
      <c r="F13" s="947">
        <f t="shared" si="0"/>
        <v>0</v>
      </c>
      <c r="G13" s="432">
        <v>0</v>
      </c>
      <c r="H13" s="432">
        <v>0</v>
      </c>
      <c r="I13" s="949">
        <f t="shared" si="1"/>
        <v>0</v>
      </c>
      <c r="J13" s="1595"/>
      <c r="K13" s="1595"/>
      <c r="L13" s="1595"/>
      <c r="M13" s="1595"/>
      <c r="N13" s="1595"/>
    </row>
    <row r="14" spans="1:14" ht="22.5" customHeight="1" x14ac:dyDescent="0.2">
      <c r="A14" s="486">
        <v>4</v>
      </c>
      <c r="B14" s="487" t="s">
        <v>650</v>
      </c>
      <c r="C14" s="432">
        <v>0</v>
      </c>
      <c r="D14" s="432">
        <v>42</v>
      </c>
      <c r="E14" s="947">
        <v>0</v>
      </c>
      <c r="F14" s="947">
        <f t="shared" si="0"/>
        <v>0</v>
      </c>
      <c r="G14" s="432">
        <v>0</v>
      </c>
      <c r="H14" s="432">
        <v>0</v>
      </c>
      <c r="I14" s="949">
        <f t="shared" si="1"/>
        <v>0</v>
      </c>
      <c r="J14" s="1595"/>
      <c r="K14" s="1595"/>
      <c r="L14" s="1595"/>
      <c r="M14" s="1595"/>
      <c r="N14" s="1595"/>
    </row>
    <row r="15" spans="1:14" ht="22.5" customHeight="1" x14ac:dyDescent="0.2">
      <c r="A15" s="486">
        <v>5</v>
      </c>
      <c r="B15" s="487" t="s">
        <v>651</v>
      </c>
      <c r="C15" s="432">
        <v>0</v>
      </c>
      <c r="D15" s="432">
        <v>42</v>
      </c>
      <c r="E15" s="947">
        <v>0</v>
      </c>
      <c r="F15" s="947">
        <f t="shared" si="0"/>
        <v>0</v>
      </c>
      <c r="G15" s="432">
        <v>0</v>
      </c>
      <c r="H15" s="432">
        <v>0</v>
      </c>
      <c r="I15" s="949">
        <f t="shared" si="1"/>
        <v>0</v>
      </c>
      <c r="J15" s="1595"/>
      <c r="K15" s="1595"/>
      <c r="L15" s="1595"/>
      <c r="M15" s="1595"/>
      <c r="N15" s="1595"/>
    </row>
    <row r="16" spans="1:14" ht="22.5" customHeight="1" x14ac:dyDescent="0.2">
      <c r="A16" s="486">
        <v>6</v>
      </c>
      <c r="B16" s="487" t="s">
        <v>652</v>
      </c>
      <c r="C16" s="432">
        <v>0</v>
      </c>
      <c r="D16" s="432">
        <v>42</v>
      </c>
      <c r="E16" s="947">
        <v>0</v>
      </c>
      <c r="F16" s="947">
        <f t="shared" si="0"/>
        <v>0</v>
      </c>
      <c r="G16" s="432">
        <v>0</v>
      </c>
      <c r="H16" s="432">
        <v>0</v>
      </c>
      <c r="I16" s="949">
        <f t="shared" si="1"/>
        <v>0</v>
      </c>
      <c r="J16" s="1595"/>
      <c r="K16" s="1595"/>
      <c r="L16" s="1595"/>
      <c r="M16" s="1595"/>
      <c r="N16" s="1595"/>
    </row>
    <row r="17" spans="1:14" ht="22.5" customHeight="1" x14ac:dyDescent="0.2">
      <c r="A17" s="486">
        <v>7</v>
      </c>
      <c r="B17" s="487" t="s">
        <v>653</v>
      </c>
      <c r="C17" s="432">
        <v>0</v>
      </c>
      <c r="D17" s="432">
        <v>42</v>
      </c>
      <c r="E17" s="947">
        <v>0</v>
      </c>
      <c r="F17" s="947">
        <f t="shared" si="0"/>
        <v>0</v>
      </c>
      <c r="G17" s="432">
        <v>0</v>
      </c>
      <c r="H17" s="432">
        <v>0</v>
      </c>
      <c r="I17" s="949">
        <f t="shared" si="1"/>
        <v>0</v>
      </c>
      <c r="J17" s="1595"/>
      <c r="K17" s="1595"/>
      <c r="L17" s="1595"/>
      <c r="M17" s="1595"/>
      <c r="N17" s="1595"/>
    </row>
    <row r="18" spans="1:14" ht="22.5" customHeight="1" x14ac:dyDescent="0.2">
      <c r="A18" s="486">
        <v>8</v>
      </c>
      <c r="B18" s="487" t="s">
        <v>654</v>
      </c>
      <c r="C18" s="432">
        <v>76991</v>
      </c>
      <c r="D18" s="432">
        <v>42</v>
      </c>
      <c r="E18" s="947">
        <f>C18*0.00015*D18</f>
        <v>485.04329999999993</v>
      </c>
      <c r="F18" s="947">
        <f t="shared" si="0"/>
        <v>485.04329999999993</v>
      </c>
      <c r="G18" s="432">
        <v>0</v>
      </c>
      <c r="H18" s="432">
        <v>0</v>
      </c>
      <c r="I18" s="949">
        <f t="shared" si="1"/>
        <v>97.008660000000006</v>
      </c>
      <c r="J18" s="1595"/>
      <c r="K18" s="1595"/>
      <c r="L18" s="1595"/>
      <c r="M18" s="1595"/>
      <c r="N18" s="1595"/>
    </row>
    <row r="19" spans="1:14" ht="22.5" customHeight="1" x14ac:dyDescent="0.2">
      <c r="A19" s="486">
        <v>9</v>
      </c>
      <c r="B19" s="487" t="s">
        <v>655</v>
      </c>
      <c r="C19" s="432">
        <v>16750</v>
      </c>
      <c r="D19" s="432">
        <v>42</v>
      </c>
      <c r="E19" s="947">
        <f>C19*0.00015*D19</f>
        <v>105.52499999999999</v>
      </c>
      <c r="F19" s="947">
        <f t="shared" si="0"/>
        <v>105.52499999999999</v>
      </c>
      <c r="G19" s="432">
        <v>0</v>
      </c>
      <c r="H19" s="432">
        <v>0</v>
      </c>
      <c r="I19" s="949">
        <f t="shared" si="1"/>
        <v>21.105</v>
      </c>
      <c r="J19" s="1595"/>
      <c r="K19" s="1595"/>
      <c r="L19" s="1595"/>
      <c r="M19" s="1595"/>
      <c r="N19" s="1595"/>
    </row>
    <row r="20" spans="1:14" ht="22.5" customHeight="1" x14ac:dyDescent="0.2">
      <c r="A20" s="486">
        <v>10</v>
      </c>
      <c r="B20" s="487" t="s">
        <v>656</v>
      </c>
      <c r="C20" s="432">
        <v>0</v>
      </c>
      <c r="D20" s="432">
        <v>42</v>
      </c>
      <c r="E20" s="947">
        <v>0</v>
      </c>
      <c r="F20" s="947">
        <f t="shared" si="0"/>
        <v>0</v>
      </c>
      <c r="G20" s="432">
        <v>0</v>
      </c>
      <c r="H20" s="432">
        <v>0</v>
      </c>
      <c r="I20" s="949">
        <f t="shared" si="1"/>
        <v>0</v>
      </c>
      <c r="J20" s="1595"/>
      <c r="K20" s="1595"/>
      <c r="L20" s="1595"/>
      <c r="M20" s="1595"/>
      <c r="N20" s="1595"/>
    </row>
    <row r="21" spans="1:14" ht="22.5" customHeight="1" x14ac:dyDescent="0.2">
      <c r="A21" s="486">
        <v>11</v>
      </c>
      <c r="B21" s="487" t="s">
        <v>657</v>
      </c>
      <c r="C21" s="432">
        <v>11943</v>
      </c>
      <c r="D21" s="432">
        <v>42</v>
      </c>
      <c r="E21" s="947">
        <f>C21*0.00015*D21</f>
        <v>75.240899999999996</v>
      </c>
      <c r="F21" s="947">
        <f t="shared" si="0"/>
        <v>75.240899999999996</v>
      </c>
      <c r="G21" s="432">
        <v>0</v>
      </c>
      <c r="H21" s="432">
        <v>0</v>
      </c>
      <c r="I21" s="949">
        <f t="shared" si="1"/>
        <v>15.04818</v>
      </c>
      <c r="J21" s="1595"/>
      <c r="K21" s="1595"/>
      <c r="L21" s="1595"/>
      <c r="M21" s="1595"/>
      <c r="N21" s="1595"/>
    </row>
    <row r="22" spans="1:14" ht="22.5" customHeight="1" x14ac:dyDescent="0.2">
      <c r="A22" s="486">
        <v>12</v>
      </c>
      <c r="B22" s="487" t="s">
        <v>658</v>
      </c>
      <c r="C22" s="432">
        <v>24222</v>
      </c>
      <c r="D22" s="432">
        <v>42</v>
      </c>
      <c r="E22" s="947">
        <f>C22*0.00015*D22</f>
        <v>152.59859999999998</v>
      </c>
      <c r="F22" s="947">
        <f>E22</f>
        <v>152.59859999999998</v>
      </c>
      <c r="G22" s="432">
        <v>0</v>
      </c>
      <c r="H22" s="432">
        <v>0</v>
      </c>
      <c r="I22" s="949">
        <f t="shared" si="1"/>
        <v>30.51972</v>
      </c>
      <c r="J22" s="1595"/>
      <c r="K22" s="1595"/>
      <c r="L22" s="1595"/>
      <c r="M22" s="1595"/>
      <c r="N22" s="1595"/>
    </row>
    <row r="23" spans="1:14" ht="22.5" customHeight="1" x14ac:dyDescent="0.2">
      <c r="A23" s="486">
        <v>13</v>
      </c>
      <c r="B23" s="487" t="s">
        <v>659</v>
      </c>
      <c r="C23" s="432">
        <v>0</v>
      </c>
      <c r="D23" s="432">
        <v>42</v>
      </c>
      <c r="E23" s="947">
        <v>0</v>
      </c>
      <c r="F23" s="947">
        <f t="shared" si="0"/>
        <v>0</v>
      </c>
      <c r="G23" s="432">
        <v>0</v>
      </c>
      <c r="H23" s="432">
        <v>0</v>
      </c>
      <c r="I23" s="949">
        <f t="shared" si="1"/>
        <v>0</v>
      </c>
      <c r="J23" s="1595"/>
      <c r="K23" s="1595"/>
      <c r="L23" s="1595"/>
      <c r="M23" s="1595"/>
      <c r="N23" s="1595"/>
    </row>
    <row r="24" spans="1:14" ht="22.5" customHeight="1" x14ac:dyDescent="0.2">
      <c r="A24" s="1400" t="s">
        <v>660</v>
      </c>
      <c r="B24" s="1402"/>
      <c r="C24" s="936">
        <f>SUM(C11:C23)</f>
        <v>131256</v>
      </c>
      <c r="D24" s="936" t="s">
        <v>7</v>
      </c>
      <c r="E24" s="948">
        <f t="shared" ref="E24:N24" si="2">SUM(E11:E23)</f>
        <v>826.91279999999983</v>
      </c>
      <c r="F24" s="948">
        <f t="shared" si="2"/>
        <v>826.91279999999983</v>
      </c>
      <c r="G24" s="936">
        <f t="shared" si="2"/>
        <v>0</v>
      </c>
      <c r="H24" s="936">
        <f t="shared" si="2"/>
        <v>0</v>
      </c>
      <c r="I24" s="950">
        <f t="shared" si="2"/>
        <v>165.38256000000001</v>
      </c>
      <c r="J24" s="936">
        <f>SUM(J11:J23)</f>
        <v>0</v>
      </c>
      <c r="K24" s="946">
        <f t="shared" si="2"/>
        <v>0</v>
      </c>
      <c r="L24" s="946">
        <f t="shared" si="2"/>
        <v>0</v>
      </c>
      <c r="M24" s="946">
        <f t="shared" si="2"/>
        <v>0</v>
      </c>
      <c r="N24" s="946">
        <f t="shared" si="2"/>
        <v>0</v>
      </c>
    </row>
    <row r="25" spans="1:14" ht="18" customHeight="1" x14ac:dyDescent="0.2">
      <c r="A25" s="1596" t="s">
        <v>1006</v>
      </c>
      <c r="B25" s="1596"/>
      <c r="C25" s="1596"/>
      <c r="D25" s="1596"/>
      <c r="E25" s="1596"/>
      <c r="F25" s="1596"/>
      <c r="G25" s="1596"/>
      <c r="H25" s="1596"/>
      <c r="I25" s="1596"/>
      <c r="J25" s="1596"/>
      <c r="K25" s="1596"/>
      <c r="L25" s="1596"/>
      <c r="M25" s="1596"/>
      <c r="N25" s="951"/>
    </row>
    <row r="26" spans="1:14" ht="62.25" customHeight="1" x14ac:dyDescent="0.2">
      <c r="A26" s="824" t="s">
        <v>9</v>
      </c>
      <c r="B26" s="935"/>
      <c r="C26" s="935"/>
      <c r="D26" s="824"/>
      <c r="E26" s="935"/>
      <c r="F26" s="824"/>
      <c r="G26" s="824"/>
      <c r="H26" s="824"/>
      <c r="I26" s="824"/>
      <c r="J26" s="824"/>
      <c r="K26" s="1104" t="s">
        <v>646</v>
      </c>
      <c r="L26" s="1104"/>
      <c r="M26" s="1104"/>
      <c r="N26" s="1104"/>
    </row>
  </sheetData>
  <mergeCells count="18">
    <mergeCell ref="J11:N23"/>
    <mergeCell ref="K26:N26"/>
    <mergeCell ref="H7:N7"/>
    <mergeCell ref="A8:A9"/>
    <mergeCell ref="B8:B9"/>
    <mergeCell ref="C8:C9"/>
    <mergeCell ref="D8:D9"/>
    <mergeCell ref="E8:H8"/>
    <mergeCell ref="I8:N8"/>
    <mergeCell ref="A24:B24"/>
    <mergeCell ref="A7:C7"/>
    <mergeCell ref="A25:M25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19685039370078741" top="0.23622047244094491" bottom="0.19685039370078741" header="7.874015748031496E-2" footer="7.874015748031496E-2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6"/>
  <sheetViews>
    <sheetView view="pageBreakPreview" topLeftCell="A13" zoomScaleNormal="70" zoomScaleSheetLayoutView="100" workbookViewId="0">
      <selection activeCell="Q22" sqref="Q22"/>
    </sheetView>
  </sheetViews>
  <sheetFormatPr defaultColWidth="9.140625" defaultRowHeight="12.75" x14ac:dyDescent="0.2"/>
  <cols>
    <col min="1" max="1" width="5.5703125" style="1084" customWidth="1"/>
    <col min="2" max="2" width="13.85546875" style="1084" customWidth="1"/>
    <col min="3" max="3" width="10.28515625" style="1084" customWidth="1"/>
    <col min="4" max="4" width="12.85546875" style="1084" customWidth="1"/>
    <col min="5" max="5" width="9.5703125" style="819" customWidth="1"/>
    <col min="6" max="6" width="10.140625" style="819" customWidth="1"/>
    <col min="7" max="7" width="8" style="819" customWidth="1"/>
    <col min="8" max="8" width="8.140625" style="819" customWidth="1"/>
    <col min="9" max="9" width="9.42578125" style="819" customWidth="1"/>
    <col min="10" max="10" width="8.140625" style="819" customWidth="1"/>
    <col min="11" max="11" width="8.42578125" style="819" customWidth="1"/>
    <col min="12" max="12" width="8.140625" style="819" customWidth="1"/>
    <col min="13" max="13" width="11.28515625" style="819" customWidth="1"/>
    <col min="14" max="14" width="11.85546875" style="819" customWidth="1"/>
    <col min="15" max="16384" width="9.140625" style="819"/>
  </cols>
  <sheetData>
    <row r="1" spans="1:14" ht="12.75" customHeight="1" x14ac:dyDescent="0.2">
      <c r="D1" s="1280"/>
      <c r="E1" s="1280"/>
      <c r="F1" s="1084"/>
      <c r="G1" s="1084"/>
      <c r="H1" s="1084"/>
      <c r="I1" s="1084"/>
      <c r="J1" s="1084"/>
      <c r="K1" s="1084"/>
      <c r="L1" s="1084"/>
      <c r="M1" s="1580" t="s">
        <v>1010</v>
      </c>
      <c r="N1" s="1580"/>
    </row>
    <row r="2" spans="1:14" ht="15.75" x14ac:dyDescent="0.25">
      <c r="A2" s="1581" t="s">
        <v>0</v>
      </c>
      <c r="B2" s="1581"/>
      <c r="C2" s="1581"/>
      <c r="D2" s="1581"/>
      <c r="E2" s="1581"/>
      <c r="F2" s="1581"/>
      <c r="G2" s="1581"/>
      <c r="H2" s="1581"/>
      <c r="I2" s="1581"/>
      <c r="J2" s="1581"/>
      <c r="K2" s="1581"/>
      <c r="L2" s="1581"/>
      <c r="M2" s="1581"/>
      <c r="N2" s="1581"/>
    </row>
    <row r="3" spans="1:14" ht="18" x14ac:dyDescent="0.25">
      <c r="A3" s="1582" t="s">
        <v>793</v>
      </c>
      <c r="B3" s="1582"/>
      <c r="C3" s="1582"/>
      <c r="D3" s="1582"/>
      <c r="E3" s="1582"/>
      <c r="F3" s="1582"/>
      <c r="G3" s="1582"/>
      <c r="H3" s="1582"/>
      <c r="I3" s="1582"/>
      <c r="J3" s="1582"/>
      <c r="K3" s="1582"/>
      <c r="L3" s="1582"/>
      <c r="M3" s="1582"/>
      <c r="N3" s="1582"/>
    </row>
    <row r="4" spans="1:14" ht="9.75" customHeight="1" x14ac:dyDescent="0.2">
      <c r="A4" s="1597" t="s">
        <v>1011</v>
      </c>
      <c r="B4" s="1597"/>
      <c r="C4" s="1597"/>
      <c r="D4" s="1597"/>
      <c r="E4" s="1597"/>
      <c r="F4" s="1597"/>
      <c r="G4" s="1597"/>
      <c r="H4" s="1597"/>
      <c r="I4" s="1597"/>
      <c r="J4" s="1597"/>
      <c r="K4" s="1597"/>
      <c r="L4" s="1597"/>
      <c r="M4" s="1597"/>
      <c r="N4" s="1597"/>
    </row>
    <row r="5" spans="1:14" s="820" customFormat="1" ht="18.75" customHeight="1" x14ac:dyDescent="0.2">
      <c r="A5" s="1597"/>
      <c r="B5" s="1597"/>
      <c r="C5" s="1597"/>
      <c r="D5" s="1597"/>
      <c r="E5" s="1597"/>
      <c r="F5" s="1597"/>
      <c r="G5" s="1597"/>
      <c r="H5" s="1597"/>
      <c r="I5" s="1597"/>
      <c r="J5" s="1597"/>
      <c r="K5" s="1597"/>
      <c r="L5" s="1597"/>
      <c r="M5" s="1597"/>
      <c r="N5" s="1597"/>
    </row>
    <row r="6" spans="1:14" x14ac:dyDescent="0.2">
      <c r="A6" s="1579"/>
      <c r="B6" s="1579"/>
      <c r="C6" s="1579"/>
      <c r="D6" s="1579"/>
      <c r="E6" s="1579"/>
      <c r="F6" s="1579"/>
      <c r="G6" s="1579"/>
      <c r="H6" s="1579"/>
      <c r="I6" s="1579"/>
      <c r="J6" s="1579"/>
      <c r="K6" s="1579"/>
      <c r="L6" s="1579"/>
      <c r="M6" s="1579"/>
      <c r="N6" s="1579"/>
    </row>
    <row r="7" spans="1:14" x14ac:dyDescent="0.2">
      <c r="A7" s="1598" t="s">
        <v>661</v>
      </c>
      <c r="B7" s="1598"/>
      <c r="C7" s="1598"/>
      <c r="D7" s="1090"/>
      <c r="E7" s="1084"/>
      <c r="F7" s="1084"/>
      <c r="G7" s="1084"/>
      <c r="H7" s="1586"/>
      <c r="I7" s="1586"/>
      <c r="J7" s="1586"/>
      <c r="K7" s="1586"/>
      <c r="L7" s="1586"/>
      <c r="M7" s="1586"/>
      <c r="N7" s="1586"/>
    </row>
    <row r="8" spans="1:14" ht="24.75" customHeight="1" x14ac:dyDescent="0.2">
      <c r="A8" s="1587" t="s">
        <v>2</v>
      </c>
      <c r="B8" s="1587" t="s">
        <v>3</v>
      </c>
      <c r="C8" s="1588" t="s">
        <v>1012</v>
      </c>
      <c r="D8" s="1590" t="s">
        <v>76</v>
      </c>
      <c r="E8" s="1587" t="s">
        <v>77</v>
      </c>
      <c r="F8" s="1587"/>
      <c r="G8" s="1587"/>
      <c r="H8" s="1587"/>
      <c r="I8" s="1587" t="s">
        <v>855</v>
      </c>
      <c r="J8" s="1587"/>
      <c r="K8" s="1587"/>
      <c r="L8" s="1587"/>
      <c r="M8" s="1587"/>
      <c r="N8" s="1587"/>
    </row>
    <row r="9" spans="1:14" ht="44.45" customHeight="1" x14ac:dyDescent="0.2">
      <c r="A9" s="1587"/>
      <c r="B9" s="1587"/>
      <c r="C9" s="1589"/>
      <c r="D9" s="1591"/>
      <c r="E9" s="1091" t="s">
        <v>165</v>
      </c>
      <c r="F9" s="1091" t="s">
        <v>107</v>
      </c>
      <c r="G9" s="1091" t="s">
        <v>108</v>
      </c>
      <c r="H9" s="1091" t="s">
        <v>421</v>
      </c>
      <c r="I9" s="1091" t="s">
        <v>13</v>
      </c>
      <c r="J9" s="1091" t="s">
        <v>856</v>
      </c>
      <c r="K9" s="1091" t="s">
        <v>857</v>
      </c>
      <c r="L9" s="1091" t="s">
        <v>858</v>
      </c>
      <c r="M9" s="1091" t="s">
        <v>859</v>
      </c>
      <c r="N9" s="1091" t="s">
        <v>860</v>
      </c>
    </row>
    <row r="10" spans="1:14" s="823" customFormat="1" x14ac:dyDescent="0.2">
      <c r="A10" s="1091">
        <v>1</v>
      </c>
      <c r="B10" s="1091">
        <v>2</v>
      </c>
      <c r="C10" s="1091">
        <v>3</v>
      </c>
      <c r="D10" s="1091">
        <v>8</v>
      </c>
      <c r="E10" s="1091">
        <v>9</v>
      </c>
      <c r="F10" s="1091">
        <v>10</v>
      </c>
      <c r="G10" s="1091">
        <v>11</v>
      </c>
      <c r="H10" s="1091">
        <v>12</v>
      </c>
      <c r="I10" s="1091">
        <v>13</v>
      </c>
      <c r="J10" s="1091">
        <v>14</v>
      </c>
      <c r="K10" s="1091">
        <v>15</v>
      </c>
      <c r="L10" s="1091">
        <v>16</v>
      </c>
      <c r="M10" s="1091">
        <v>17</v>
      </c>
      <c r="N10" s="1091">
        <v>18</v>
      </c>
    </row>
    <row r="11" spans="1:14" ht="22.5" customHeight="1" x14ac:dyDescent="0.2">
      <c r="A11" s="1686">
        <v>1</v>
      </c>
      <c r="B11" s="1687" t="s">
        <v>647</v>
      </c>
      <c r="C11" s="432">
        <v>19020</v>
      </c>
      <c r="D11" s="432">
        <v>42</v>
      </c>
      <c r="E11" s="947">
        <f>C11*D11*0.00015</f>
        <v>119.82599999999999</v>
      </c>
      <c r="F11" s="947">
        <f>E11</f>
        <v>119.82599999999999</v>
      </c>
      <c r="G11" s="432">
        <v>0</v>
      </c>
      <c r="H11" s="432">
        <v>0</v>
      </c>
      <c r="I11" s="949">
        <f>C11*D11*0.00003</f>
        <v>23.965199999999999</v>
      </c>
      <c r="J11" s="1595" t="s">
        <v>957</v>
      </c>
      <c r="K11" s="1595"/>
      <c r="L11" s="1595"/>
      <c r="M11" s="1595"/>
      <c r="N11" s="1595"/>
    </row>
    <row r="12" spans="1:14" ht="22.5" customHeight="1" x14ac:dyDescent="0.2">
      <c r="A12" s="1686">
        <v>2</v>
      </c>
      <c r="B12" s="1687" t="s">
        <v>648</v>
      </c>
      <c r="C12" s="432">
        <v>21531</v>
      </c>
      <c r="D12" s="432">
        <v>42</v>
      </c>
      <c r="E12" s="947">
        <f t="shared" ref="E12:E23" si="0">C12*D12*0.00015</f>
        <v>135.64529999999999</v>
      </c>
      <c r="F12" s="947">
        <f t="shared" ref="F12:F23" si="1">E12</f>
        <v>135.64529999999999</v>
      </c>
      <c r="G12" s="432">
        <v>0</v>
      </c>
      <c r="H12" s="432">
        <v>0</v>
      </c>
      <c r="I12" s="949">
        <f t="shared" ref="I12:I23" si="2">C12*D12*0.00003</f>
        <v>27.129059999999999</v>
      </c>
      <c r="J12" s="1595"/>
      <c r="K12" s="1595"/>
      <c r="L12" s="1595"/>
      <c r="M12" s="1595"/>
      <c r="N12" s="1595"/>
    </row>
    <row r="13" spans="1:14" ht="22.5" customHeight="1" x14ac:dyDescent="0.2">
      <c r="A13" s="1686">
        <v>3</v>
      </c>
      <c r="B13" s="1687" t="s">
        <v>649</v>
      </c>
      <c r="C13" s="432">
        <v>26446</v>
      </c>
      <c r="D13" s="432">
        <v>42</v>
      </c>
      <c r="E13" s="947">
        <f t="shared" si="0"/>
        <v>166.60979999999998</v>
      </c>
      <c r="F13" s="947">
        <f t="shared" si="1"/>
        <v>166.60979999999998</v>
      </c>
      <c r="G13" s="432">
        <v>0</v>
      </c>
      <c r="H13" s="432">
        <v>0</v>
      </c>
      <c r="I13" s="949">
        <f t="shared" si="2"/>
        <v>33.321960000000004</v>
      </c>
      <c r="J13" s="1595"/>
      <c r="K13" s="1595"/>
      <c r="L13" s="1595"/>
      <c r="M13" s="1595"/>
      <c r="N13" s="1595"/>
    </row>
    <row r="14" spans="1:14" ht="22.5" customHeight="1" x14ac:dyDescent="0.2">
      <c r="A14" s="1686">
        <v>4</v>
      </c>
      <c r="B14" s="1687" t="s">
        <v>650</v>
      </c>
      <c r="C14" s="432">
        <v>35661</v>
      </c>
      <c r="D14" s="432">
        <v>42</v>
      </c>
      <c r="E14" s="947">
        <f t="shared" si="0"/>
        <v>224.66429999999997</v>
      </c>
      <c r="F14" s="947">
        <f t="shared" si="1"/>
        <v>224.66429999999997</v>
      </c>
      <c r="G14" s="432">
        <v>0</v>
      </c>
      <c r="H14" s="432">
        <v>0</v>
      </c>
      <c r="I14" s="949">
        <f t="shared" si="2"/>
        <v>44.932859999999998</v>
      </c>
      <c r="J14" s="1595"/>
      <c r="K14" s="1595"/>
      <c r="L14" s="1595"/>
      <c r="M14" s="1595"/>
      <c r="N14" s="1595"/>
    </row>
    <row r="15" spans="1:14" ht="22.5" customHeight="1" x14ac:dyDescent="0.2">
      <c r="A15" s="1686">
        <v>5</v>
      </c>
      <c r="B15" s="1687" t="s">
        <v>651</v>
      </c>
      <c r="C15" s="432">
        <v>26664</v>
      </c>
      <c r="D15" s="432">
        <v>42</v>
      </c>
      <c r="E15" s="947">
        <f t="shared" si="0"/>
        <v>167.98319999999998</v>
      </c>
      <c r="F15" s="947">
        <f t="shared" si="1"/>
        <v>167.98319999999998</v>
      </c>
      <c r="G15" s="432">
        <v>0</v>
      </c>
      <c r="H15" s="432">
        <v>0</v>
      </c>
      <c r="I15" s="949">
        <f t="shared" si="2"/>
        <v>33.596640000000001</v>
      </c>
      <c r="J15" s="1595"/>
      <c r="K15" s="1595"/>
      <c r="L15" s="1595"/>
      <c r="M15" s="1595"/>
      <c r="N15" s="1595"/>
    </row>
    <row r="16" spans="1:14" ht="22.5" customHeight="1" x14ac:dyDescent="0.2">
      <c r="A16" s="1686">
        <v>6</v>
      </c>
      <c r="B16" s="1687" t="s">
        <v>652</v>
      </c>
      <c r="C16" s="432">
        <v>24537</v>
      </c>
      <c r="D16" s="432">
        <v>42</v>
      </c>
      <c r="E16" s="947">
        <f t="shared" si="0"/>
        <v>154.58309999999997</v>
      </c>
      <c r="F16" s="947">
        <f t="shared" si="1"/>
        <v>154.58309999999997</v>
      </c>
      <c r="G16" s="432">
        <v>0</v>
      </c>
      <c r="H16" s="432">
        <v>0</v>
      </c>
      <c r="I16" s="949">
        <f t="shared" si="2"/>
        <v>30.916620000000002</v>
      </c>
      <c r="J16" s="1595"/>
      <c r="K16" s="1595"/>
      <c r="L16" s="1595"/>
      <c r="M16" s="1595"/>
      <c r="N16" s="1595"/>
    </row>
    <row r="17" spans="1:14" ht="22.5" customHeight="1" x14ac:dyDescent="0.2">
      <c r="A17" s="1686">
        <v>7</v>
      </c>
      <c r="B17" s="1687" t="s">
        <v>653</v>
      </c>
      <c r="C17" s="432">
        <v>26625</v>
      </c>
      <c r="D17" s="432">
        <v>42</v>
      </c>
      <c r="E17" s="947">
        <f t="shared" si="0"/>
        <v>167.73749999999998</v>
      </c>
      <c r="F17" s="947">
        <f t="shared" si="1"/>
        <v>167.73749999999998</v>
      </c>
      <c r="G17" s="432">
        <v>0</v>
      </c>
      <c r="H17" s="432">
        <v>0</v>
      </c>
      <c r="I17" s="949">
        <f t="shared" si="2"/>
        <v>33.547499999999999</v>
      </c>
      <c r="J17" s="1595"/>
      <c r="K17" s="1595"/>
      <c r="L17" s="1595"/>
      <c r="M17" s="1595"/>
      <c r="N17" s="1595"/>
    </row>
    <row r="18" spans="1:14" ht="22.5" customHeight="1" x14ac:dyDescent="0.2">
      <c r="A18" s="1686">
        <v>8</v>
      </c>
      <c r="B18" s="1687" t="s">
        <v>654</v>
      </c>
      <c r="C18" s="432">
        <v>0</v>
      </c>
      <c r="D18" s="432">
        <v>42</v>
      </c>
      <c r="E18" s="947">
        <f t="shared" si="0"/>
        <v>0</v>
      </c>
      <c r="F18" s="947">
        <f t="shared" si="1"/>
        <v>0</v>
      </c>
      <c r="G18" s="432">
        <v>0</v>
      </c>
      <c r="H18" s="432">
        <v>0</v>
      </c>
      <c r="I18" s="949">
        <f t="shared" si="2"/>
        <v>0</v>
      </c>
      <c r="J18" s="1595"/>
      <c r="K18" s="1595"/>
      <c r="L18" s="1595"/>
      <c r="M18" s="1595"/>
      <c r="N18" s="1595"/>
    </row>
    <row r="19" spans="1:14" ht="22.5" customHeight="1" x14ac:dyDescent="0.2">
      <c r="A19" s="1686">
        <v>9</v>
      </c>
      <c r="B19" s="1687" t="s">
        <v>655</v>
      </c>
      <c r="C19" s="432">
        <v>22991</v>
      </c>
      <c r="D19" s="432">
        <v>42</v>
      </c>
      <c r="E19" s="947">
        <f t="shared" si="0"/>
        <v>144.8433</v>
      </c>
      <c r="F19" s="947">
        <f t="shared" si="1"/>
        <v>144.8433</v>
      </c>
      <c r="G19" s="432">
        <v>0</v>
      </c>
      <c r="H19" s="432">
        <v>0</v>
      </c>
      <c r="I19" s="949">
        <f t="shared" si="2"/>
        <v>28.96866</v>
      </c>
      <c r="J19" s="1595"/>
      <c r="K19" s="1595"/>
      <c r="L19" s="1595"/>
      <c r="M19" s="1595"/>
      <c r="N19" s="1595"/>
    </row>
    <row r="20" spans="1:14" ht="22.5" customHeight="1" x14ac:dyDescent="0.2">
      <c r="A20" s="1686">
        <v>10</v>
      </c>
      <c r="B20" s="1687" t="s">
        <v>656</v>
      </c>
      <c r="C20" s="432">
        <v>31535</v>
      </c>
      <c r="D20" s="432">
        <v>42</v>
      </c>
      <c r="E20" s="947">
        <f t="shared" si="0"/>
        <v>198.67049999999998</v>
      </c>
      <c r="F20" s="947">
        <f t="shared" si="1"/>
        <v>198.67049999999998</v>
      </c>
      <c r="G20" s="432">
        <v>0</v>
      </c>
      <c r="H20" s="432">
        <v>0</v>
      </c>
      <c r="I20" s="949">
        <f t="shared" si="2"/>
        <v>39.734099999999998</v>
      </c>
      <c r="J20" s="1595"/>
      <c r="K20" s="1595"/>
      <c r="L20" s="1595"/>
      <c r="M20" s="1595"/>
      <c r="N20" s="1595"/>
    </row>
    <row r="21" spans="1:14" ht="22.5" customHeight="1" x14ac:dyDescent="0.2">
      <c r="A21" s="1686">
        <v>11</v>
      </c>
      <c r="B21" s="1687" t="s">
        <v>657</v>
      </c>
      <c r="C21" s="432">
        <v>14737</v>
      </c>
      <c r="D21" s="432">
        <v>42</v>
      </c>
      <c r="E21" s="947">
        <f t="shared" si="0"/>
        <v>92.843099999999993</v>
      </c>
      <c r="F21" s="947">
        <f t="shared" si="1"/>
        <v>92.843099999999993</v>
      </c>
      <c r="G21" s="432">
        <v>0</v>
      </c>
      <c r="H21" s="432">
        <v>0</v>
      </c>
      <c r="I21" s="949">
        <f t="shared" si="2"/>
        <v>18.568619999999999</v>
      </c>
      <c r="J21" s="1595"/>
      <c r="K21" s="1595"/>
      <c r="L21" s="1595"/>
      <c r="M21" s="1595"/>
      <c r="N21" s="1595"/>
    </row>
    <row r="22" spans="1:14" ht="22.5" customHeight="1" x14ac:dyDescent="0.2">
      <c r="A22" s="1686">
        <v>12</v>
      </c>
      <c r="B22" s="1687" t="s">
        <v>658</v>
      </c>
      <c r="C22" s="432">
        <v>25687</v>
      </c>
      <c r="D22" s="432">
        <v>42</v>
      </c>
      <c r="E22" s="947">
        <f t="shared" si="0"/>
        <v>161.82809999999998</v>
      </c>
      <c r="F22" s="947">
        <f>E22</f>
        <v>161.82809999999998</v>
      </c>
      <c r="G22" s="432">
        <v>0</v>
      </c>
      <c r="H22" s="432">
        <v>0</v>
      </c>
      <c r="I22" s="949">
        <f t="shared" si="2"/>
        <v>32.36562</v>
      </c>
      <c r="J22" s="1595"/>
      <c r="K22" s="1595"/>
      <c r="L22" s="1595"/>
      <c r="M22" s="1595"/>
      <c r="N22" s="1595"/>
    </row>
    <row r="23" spans="1:14" ht="22.5" customHeight="1" x14ac:dyDescent="0.2">
      <c r="A23" s="1686">
        <v>13</v>
      </c>
      <c r="B23" s="1687" t="s">
        <v>659</v>
      </c>
      <c r="C23" s="432">
        <v>28898</v>
      </c>
      <c r="D23" s="432">
        <v>42</v>
      </c>
      <c r="E23" s="947">
        <f t="shared" si="0"/>
        <v>182.05739999999997</v>
      </c>
      <c r="F23" s="947">
        <f t="shared" si="1"/>
        <v>182.05739999999997</v>
      </c>
      <c r="G23" s="432">
        <v>0</v>
      </c>
      <c r="H23" s="432">
        <v>0</v>
      </c>
      <c r="I23" s="949">
        <f t="shared" si="2"/>
        <v>36.411479999999997</v>
      </c>
      <c r="J23" s="1595"/>
      <c r="K23" s="1595"/>
      <c r="L23" s="1595"/>
      <c r="M23" s="1595"/>
      <c r="N23" s="1595"/>
    </row>
    <row r="24" spans="1:14" ht="22.5" customHeight="1" x14ac:dyDescent="0.2">
      <c r="A24" s="1665" t="s">
        <v>660</v>
      </c>
      <c r="B24" s="1666"/>
      <c r="C24" s="1087">
        <f t="shared" ref="C24:N24" si="3">SUM(C11:C23)</f>
        <v>304332</v>
      </c>
      <c r="D24" s="1087" t="s">
        <v>7</v>
      </c>
      <c r="E24" s="948">
        <f t="shared" si="3"/>
        <v>1917.2915999999998</v>
      </c>
      <c r="F24" s="948">
        <f t="shared" si="3"/>
        <v>1917.2915999999998</v>
      </c>
      <c r="G24" s="1087">
        <f t="shared" si="3"/>
        <v>0</v>
      </c>
      <c r="H24" s="1087">
        <f t="shared" si="3"/>
        <v>0</v>
      </c>
      <c r="I24" s="950">
        <f t="shared" si="3"/>
        <v>383.45832000000001</v>
      </c>
      <c r="J24" s="1087">
        <f>SUM(J11:J23)</f>
        <v>0</v>
      </c>
      <c r="K24" s="946">
        <f t="shared" si="3"/>
        <v>0</v>
      </c>
      <c r="L24" s="946">
        <f t="shared" si="3"/>
        <v>0</v>
      </c>
      <c r="M24" s="946">
        <f t="shared" si="3"/>
        <v>0</v>
      </c>
      <c r="N24" s="946">
        <f t="shared" si="3"/>
        <v>0</v>
      </c>
    </row>
    <row r="25" spans="1:14" ht="18" customHeight="1" x14ac:dyDescent="0.2">
      <c r="A25" s="1596" t="s">
        <v>1016</v>
      </c>
      <c r="B25" s="1596"/>
      <c r="C25" s="1596"/>
      <c r="D25" s="1596"/>
      <c r="E25" s="1596"/>
      <c r="F25" s="1596"/>
      <c r="G25" s="1596"/>
      <c r="H25" s="1596"/>
      <c r="I25" s="1596"/>
      <c r="J25" s="1596"/>
      <c r="K25" s="1596"/>
      <c r="L25" s="1596"/>
      <c r="M25" s="1596"/>
      <c r="N25" s="951"/>
    </row>
    <row r="26" spans="1:14" ht="62.25" customHeight="1" x14ac:dyDescent="0.2">
      <c r="A26" s="824" t="s">
        <v>9</v>
      </c>
      <c r="D26" s="824"/>
      <c r="E26" s="1084"/>
      <c r="F26" s="824"/>
      <c r="G26" s="824"/>
      <c r="H26" s="824"/>
      <c r="I26" s="824"/>
      <c r="J26" s="824"/>
      <c r="K26" s="1104" t="s">
        <v>646</v>
      </c>
      <c r="L26" s="1104"/>
      <c r="M26" s="1104"/>
      <c r="N26" s="1104"/>
    </row>
  </sheetData>
  <mergeCells count="18">
    <mergeCell ref="J11:N23"/>
    <mergeCell ref="A24:B24"/>
    <mergeCell ref="A25:M25"/>
    <mergeCell ref="K26:N26"/>
    <mergeCell ref="A7:C7"/>
    <mergeCell ref="H7:N7"/>
    <mergeCell ref="A8:A9"/>
    <mergeCell ref="B8:B9"/>
    <mergeCell ref="C8:C9"/>
    <mergeCell ref="D8:D9"/>
    <mergeCell ref="E8:H8"/>
    <mergeCell ref="I8:N8"/>
    <mergeCell ref="D1:E1"/>
    <mergeCell ref="M1:N1"/>
    <mergeCell ref="A2:N2"/>
    <mergeCell ref="A3:N3"/>
    <mergeCell ref="A4:N5"/>
    <mergeCell ref="A6:N6"/>
  </mergeCells>
  <printOptions horizontalCentered="1"/>
  <pageMargins left="0.70866141732283472" right="0.19685039370078741" top="0.23622047244094491" bottom="0.19685039370078741" header="7.874015748031496E-2" footer="7.874015748031496E-2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5" tint="0.59999389629810485"/>
  </sheetPr>
  <dimension ref="A1:AR26"/>
  <sheetViews>
    <sheetView view="pageBreakPreview" zoomScale="70" zoomScaleSheetLayoutView="70" workbookViewId="0">
      <selection activeCell="C32" sqref="C32"/>
    </sheetView>
  </sheetViews>
  <sheetFormatPr defaultColWidth="9.140625" defaultRowHeight="15" x14ac:dyDescent="0.25"/>
  <cols>
    <col min="1" max="1" width="9.140625" style="319"/>
    <col min="2" max="2" width="16.7109375" style="319" customWidth="1"/>
    <col min="3" max="4" width="8.5703125" style="319" customWidth="1"/>
    <col min="5" max="5" width="8.7109375" style="319" customWidth="1"/>
    <col min="6" max="6" width="7.7109375" style="319" customWidth="1"/>
    <col min="7" max="7" width="8.7109375" style="319" customWidth="1"/>
    <col min="8" max="8" width="9.28515625" style="319" customWidth="1"/>
    <col min="9" max="9" width="9.7109375" style="319" customWidth="1"/>
    <col min="10" max="10" width="9.28515625" style="319" customWidth="1"/>
    <col min="11" max="11" width="7" style="319" customWidth="1"/>
    <col min="12" max="12" width="7.28515625" style="319" customWidth="1"/>
    <col min="13" max="13" width="7.42578125" style="319" customWidth="1"/>
    <col min="14" max="14" width="7.85546875" style="319" customWidth="1"/>
    <col min="15" max="15" width="10.85546875" style="319" customWidth="1"/>
    <col min="16" max="16" width="12.28515625" style="319" customWidth="1"/>
    <col min="17" max="17" width="11" style="319" customWidth="1"/>
    <col min="18" max="18" width="13.7109375" style="319" customWidth="1"/>
    <col min="19" max="19" width="9.140625" style="319" hidden="1" customWidth="1"/>
    <col min="20" max="20" width="9.140625" style="319"/>
    <col min="21" max="16384" width="9.140625" style="32"/>
  </cols>
  <sheetData>
    <row r="1" spans="1:20" s="11" customFormat="1" ht="15.75" x14ac:dyDescent="0.25">
      <c r="A1" s="78"/>
      <c r="B1" s="78"/>
      <c r="C1" s="78"/>
      <c r="D1" s="78"/>
      <c r="E1" s="78"/>
      <c r="F1" s="78"/>
      <c r="G1" s="1148" t="s">
        <v>0</v>
      </c>
      <c r="H1" s="1148"/>
      <c r="I1" s="1148"/>
      <c r="J1" s="1148"/>
      <c r="K1" s="1148"/>
      <c r="L1" s="1148"/>
      <c r="M1" s="1148"/>
      <c r="N1" s="729"/>
      <c r="O1" s="729"/>
      <c r="P1" s="78"/>
      <c r="Q1" s="78"/>
      <c r="R1" s="536" t="s">
        <v>535</v>
      </c>
      <c r="S1" s="78"/>
      <c r="T1" s="78"/>
    </row>
    <row r="2" spans="1:20" s="11" customFormat="1" ht="20.25" x14ac:dyDescent="0.3">
      <c r="A2" s="78"/>
      <c r="B2" s="731"/>
      <c r="C2" s="78"/>
      <c r="D2" s="78"/>
      <c r="E2" s="1222" t="s">
        <v>793</v>
      </c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78"/>
      <c r="Q2" s="78"/>
      <c r="R2" s="78"/>
      <c r="S2" s="78"/>
      <c r="T2" s="78"/>
    </row>
    <row r="3" spans="1:20" s="11" customFormat="1" ht="20.25" x14ac:dyDescent="0.3">
      <c r="A3" s="78"/>
      <c r="B3" s="730"/>
      <c r="C3" s="730"/>
      <c r="D3" s="730"/>
      <c r="E3" s="730"/>
      <c r="F3" s="730"/>
      <c r="G3" s="730"/>
      <c r="H3" s="730"/>
      <c r="I3" s="730"/>
      <c r="J3" s="730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8" x14ac:dyDescent="0.25">
      <c r="B4" s="1604" t="s">
        <v>865</v>
      </c>
      <c r="C4" s="1604"/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</row>
    <row r="5" spans="1:20" x14ac:dyDescent="0.25">
      <c r="C5" s="320"/>
      <c r="D5" s="320"/>
      <c r="E5" s="320"/>
      <c r="F5" s="320"/>
      <c r="G5" s="320"/>
      <c r="H5" s="320"/>
      <c r="M5" s="320"/>
      <c r="N5" s="320"/>
      <c r="O5" s="320"/>
      <c r="P5" s="320"/>
      <c r="Q5" s="320"/>
      <c r="R5" s="320"/>
      <c r="S5" s="320"/>
    </row>
    <row r="6" spans="1:20" x14ac:dyDescent="0.25">
      <c r="A6" s="524" t="s">
        <v>687</v>
      </c>
      <c r="B6" s="524"/>
    </row>
    <row r="7" spans="1:20" s="34" customFormat="1" ht="42" customHeight="1" x14ac:dyDescent="0.25">
      <c r="A7" s="1224" t="s">
        <v>2</v>
      </c>
      <c r="B7" s="1605" t="s">
        <v>3</v>
      </c>
      <c r="C7" s="1602" t="s">
        <v>227</v>
      </c>
      <c r="D7" s="1602"/>
      <c r="E7" s="1602"/>
      <c r="F7" s="1602"/>
      <c r="G7" s="1599" t="s">
        <v>864</v>
      </c>
      <c r="H7" s="1600"/>
      <c r="I7" s="1600"/>
      <c r="J7" s="1603"/>
      <c r="K7" s="1599" t="s">
        <v>193</v>
      </c>
      <c r="L7" s="1600"/>
      <c r="M7" s="1600"/>
      <c r="N7" s="1603"/>
      <c r="O7" s="1599" t="s">
        <v>97</v>
      </c>
      <c r="P7" s="1600"/>
      <c r="Q7" s="1600"/>
      <c r="R7" s="1601"/>
      <c r="S7" s="736"/>
      <c r="T7" s="736"/>
    </row>
    <row r="8" spans="1:20" s="35" customFormat="1" ht="62.25" customHeight="1" x14ac:dyDescent="0.25">
      <c r="A8" s="1224"/>
      <c r="B8" s="1606"/>
      <c r="C8" s="732" t="s">
        <v>742</v>
      </c>
      <c r="D8" s="732" t="s">
        <v>88</v>
      </c>
      <c r="E8" s="732" t="s">
        <v>89</v>
      </c>
      <c r="F8" s="732" t="s">
        <v>13</v>
      </c>
      <c r="G8" s="732" t="s">
        <v>742</v>
      </c>
      <c r="H8" s="732" t="s">
        <v>88</v>
      </c>
      <c r="I8" s="732" t="s">
        <v>89</v>
      </c>
      <c r="J8" s="732" t="s">
        <v>13</v>
      </c>
      <c r="K8" s="732" t="s">
        <v>84</v>
      </c>
      <c r="L8" s="732" t="s">
        <v>88</v>
      </c>
      <c r="M8" s="732" t="s">
        <v>89</v>
      </c>
      <c r="N8" s="732" t="s">
        <v>13</v>
      </c>
      <c r="O8" s="732" t="s">
        <v>130</v>
      </c>
      <c r="P8" s="732" t="s">
        <v>131</v>
      </c>
      <c r="Q8" s="737" t="s">
        <v>132</v>
      </c>
      <c r="R8" s="732" t="s">
        <v>133</v>
      </c>
      <c r="S8" s="331"/>
      <c r="T8" s="331"/>
    </row>
    <row r="9" spans="1:20" s="61" customFormat="1" ht="16.149999999999999" customHeight="1" x14ac:dyDescent="0.2">
      <c r="A9" s="306">
        <v>1</v>
      </c>
      <c r="B9" s="738">
        <v>2</v>
      </c>
      <c r="C9" s="739">
        <v>3</v>
      </c>
      <c r="D9" s="739">
        <v>4</v>
      </c>
      <c r="E9" s="739">
        <v>5</v>
      </c>
      <c r="F9" s="739">
        <v>6</v>
      </c>
      <c r="G9" s="739">
        <v>7</v>
      </c>
      <c r="H9" s="739">
        <v>8</v>
      </c>
      <c r="I9" s="739">
        <v>9</v>
      </c>
      <c r="J9" s="739">
        <v>10</v>
      </c>
      <c r="K9" s="739">
        <v>11</v>
      </c>
      <c r="L9" s="739">
        <v>12</v>
      </c>
      <c r="M9" s="739">
        <v>13</v>
      </c>
      <c r="N9" s="739">
        <v>14</v>
      </c>
      <c r="O9" s="739">
        <v>15</v>
      </c>
      <c r="P9" s="739">
        <v>16</v>
      </c>
      <c r="Q9" s="739">
        <v>17</v>
      </c>
      <c r="R9" s="738">
        <v>18</v>
      </c>
      <c r="S9" s="740"/>
      <c r="T9" s="740"/>
    </row>
    <row r="10" spans="1:20" s="713" customFormat="1" ht="26.25" customHeight="1" x14ac:dyDescent="0.2">
      <c r="A10" s="544">
        <v>1</v>
      </c>
      <c r="B10" s="588" t="s">
        <v>647</v>
      </c>
      <c r="C10" s="1609" t="s">
        <v>746</v>
      </c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741"/>
      <c r="T10" s="741"/>
    </row>
    <row r="11" spans="1:20" s="713" customFormat="1" ht="26.25" customHeight="1" x14ac:dyDescent="0.2">
      <c r="A11" s="544">
        <v>2</v>
      </c>
      <c r="B11" s="588" t="s">
        <v>648</v>
      </c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741"/>
      <c r="T11" s="741"/>
    </row>
    <row r="12" spans="1:20" s="713" customFormat="1" ht="26.25" customHeight="1" x14ac:dyDescent="0.2">
      <c r="A12" s="544">
        <v>3</v>
      </c>
      <c r="B12" s="588" t="s">
        <v>649</v>
      </c>
      <c r="C12" s="1612"/>
      <c r="D12" s="1613"/>
      <c r="E12" s="1613"/>
      <c r="F12" s="1613"/>
      <c r="G12" s="1613"/>
      <c r="H12" s="1613"/>
      <c r="I12" s="1613"/>
      <c r="J12" s="1613"/>
      <c r="K12" s="1613"/>
      <c r="L12" s="1613"/>
      <c r="M12" s="1613"/>
      <c r="N12" s="1613"/>
      <c r="O12" s="1613"/>
      <c r="P12" s="1613"/>
      <c r="Q12" s="1613"/>
      <c r="R12" s="1614"/>
      <c r="S12" s="741"/>
      <c r="T12" s="741"/>
    </row>
    <row r="13" spans="1:20" s="713" customFormat="1" ht="26.25" customHeight="1" x14ac:dyDescent="0.2">
      <c r="A13" s="544">
        <v>4</v>
      </c>
      <c r="B13" s="588" t="s">
        <v>650</v>
      </c>
      <c r="C13" s="1612"/>
      <c r="D13" s="1613"/>
      <c r="E13" s="1613"/>
      <c r="F13" s="1613"/>
      <c r="G13" s="1613"/>
      <c r="H13" s="1613"/>
      <c r="I13" s="1613"/>
      <c r="J13" s="1613"/>
      <c r="K13" s="1613"/>
      <c r="L13" s="1613"/>
      <c r="M13" s="1613"/>
      <c r="N13" s="1613"/>
      <c r="O13" s="1613"/>
      <c r="P13" s="1613"/>
      <c r="Q13" s="1613"/>
      <c r="R13" s="1614"/>
      <c r="S13" s="741"/>
      <c r="T13" s="741"/>
    </row>
    <row r="14" spans="1:20" s="713" customFormat="1" ht="26.25" customHeight="1" x14ac:dyDescent="0.2">
      <c r="A14" s="544">
        <v>5</v>
      </c>
      <c r="B14" s="588" t="s">
        <v>651</v>
      </c>
      <c r="C14" s="1612"/>
      <c r="D14" s="1613"/>
      <c r="E14" s="1613"/>
      <c r="F14" s="1613"/>
      <c r="G14" s="1613"/>
      <c r="H14" s="1613"/>
      <c r="I14" s="1613"/>
      <c r="J14" s="1613"/>
      <c r="K14" s="1613"/>
      <c r="L14" s="1613"/>
      <c r="M14" s="1613"/>
      <c r="N14" s="1613"/>
      <c r="O14" s="1613"/>
      <c r="P14" s="1613"/>
      <c r="Q14" s="1613"/>
      <c r="R14" s="1614"/>
      <c r="S14" s="741"/>
      <c r="T14" s="741"/>
    </row>
    <row r="15" spans="1:20" s="713" customFormat="1" ht="26.25" customHeight="1" x14ac:dyDescent="0.2">
      <c r="A15" s="544">
        <v>6</v>
      </c>
      <c r="B15" s="588" t="s">
        <v>652</v>
      </c>
      <c r="C15" s="1612"/>
      <c r="D15" s="1613"/>
      <c r="E15" s="1613"/>
      <c r="F15" s="1613"/>
      <c r="G15" s="1613"/>
      <c r="H15" s="1613"/>
      <c r="I15" s="1613"/>
      <c r="J15" s="1613"/>
      <c r="K15" s="1613"/>
      <c r="L15" s="1613"/>
      <c r="M15" s="1613"/>
      <c r="N15" s="1613"/>
      <c r="O15" s="1613"/>
      <c r="P15" s="1613"/>
      <c r="Q15" s="1613"/>
      <c r="R15" s="1614"/>
      <c r="S15" s="741"/>
      <c r="T15" s="741"/>
    </row>
    <row r="16" spans="1:20" s="713" customFormat="1" ht="26.25" customHeight="1" x14ac:dyDescent="0.2">
      <c r="A16" s="544">
        <v>7</v>
      </c>
      <c r="B16" s="588" t="s">
        <v>653</v>
      </c>
      <c r="C16" s="1612"/>
      <c r="D16" s="1613"/>
      <c r="E16" s="1613"/>
      <c r="F16" s="1613"/>
      <c r="G16" s="1613"/>
      <c r="H16" s="1613"/>
      <c r="I16" s="1613"/>
      <c r="J16" s="1613"/>
      <c r="K16" s="1613"/>
      <c r="L16" s="1613"/>
      <c r="M16" s="1613"/>
      <c r="N16" s="1613"/>
      <c r="O16" s="1613"/>
      <c r="P16" s="1613"/>
      <c r="Q16" s="1613"/>
      <c r="R16" s="1614"/>
      <c r="S16" s="741"/>
      <c r="T16" s="741"/>
    </row>
    <row r="17" spans="1:44" s="713" customFormat="1" ht="26.25" customHeight="1" x14ac:dyDescent="0.2">
      <c r="A17" s="544">
        <v>8</v>
      </c>
      <c r="B17" s="588" t="s">
        <v>654</v>
      </c>
      <c r="C17" s="1612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4"/>
      <c r="S17" s="741"/>
      <c r="T17" s="741"/>
    </row>
    <row r="18" spans="1:44" s="714" customFormat="1" ht="26.25" customHeight="1" x14ac:dyDescent="0.2">
      <c r="A18" s="544">
        <v>9</v>
      </c>
      <c r="B18" s="588" t="s">
        <v>655</v>
      </c>
      <c r="C18" s="1612"/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4"/>
      <c r="S18" s="333"/>
      <c r="T18" s="333"/>
    </row>
    <row r="19" spans="1:44" s="714" customFormat="1" ht="26.25" customHeight="1" x14ac:dyDescent="0.2">
      <c r="A19" s="544">
        <v>10</v>
      </c>
      <c r="B19" s="588" t="s">
        <v>656</v>
      </c>
      <c r="C19" s="1612"/>
      <c r="D19" s="1613"/>
      <c r="E19" s="1613"/>
      <c r="F19" s="1613"/>
      <c r="G19" s="1613"/>
      <c r="H19" s="1613"/>
      <c r="I19" s="1613"/>
      <c r="J19" s="1613"/>
      <c r="K19" s="1613"/>
      <c r="L19" s="1613"/>
      <c r="M19" s="1613"/>
      <c r="N19" s="1613"/>
      <c r="O19" s="1613"/>
      <c r="P19" s="1613"/>
      <c r="Q19" s="1613"/>
      <c r="R19" s="1614"/>
      <c r="S19" s="333"/>
      <c r="T19" s="333"/>
    </row>
    <row r="20" spans="1:44" s="714" customFormat="1" ht="26.25" customHeight="1" x14ac:dyDescent="0.2">
      <c r="A20" s="544">
        <v>11</v>
      </c>
      <c r="B20" s="588" t="s">
        <v>657</v>
      </c>
      <c r="C20" s="1612"/>
      <c r="D20" s="1613"/>
      <c r="E20" s="1613"/>
      <c r="F20" s="1613"/>
      <c r="G20" s="1613"/>
      <c r="H20" s="1613"/>
      <c r="I20" s="1613"/>
      <c r="J20" s="1613"/>
      <c r="K20" s="1613"/>
      <c r="L20" s="1613"/>
      <c r="M20" s="1613"/>
      <c r="N20" s="1613"/>
      <c r="O20" s="1613"/>
      <c r="P20" s="1613"/>
      <c r="Q20" s="1613"/>
      <c r="R20" s="1614"/>
      <c r="S20" s="333"/>
      <c r="T20" s="333"/>
    </row>
    <row r="21" spans="1:44" s="714" customFormat="1" ht="26.25" customHeight="1" x14ac:dyDescent="0.2">
      <c r="A21" s="544">
        <v>12</v>
      </c>
      <c r="B21" s="588" t="s">
        <v>658</v>
      </c>
      <c r="C21" s="1612"/>
      <c r="D21" s="1613"/>
      <c r="E21" s="1613"/>
      <c r="F21" s="1613"/>
      <c r="G21" s="1613"/>
      <c r="H21" s="1613"/>
      <c r="I21" s="1613"/>
      <c r="J21" s="1613"/>
      <c r="K21" s="1613"/>
      <c r="L21" s="1613"/>
      <c r="M21" s="1613"/>
      <c r="N21" s="1613"/>
      <c r="O21" s="1613"/>
      <c r="P21" s="1613"/>
      <c r="Q21" s="1613"/>
      <c r="R21" s="1614"/>
      <c r="S21" s="333"/>
      <c r="T21" s="333"/>
    </row>
    <row r="22" spans="1:44" s="716" customFormat="1" ht="26.25" customHeight="1" x14ac:dyDescent="0.2">
      <c r="A22" s="544">
        <v>13</v>
      </c>
      <c r="B22" s="588" t="s">
        <v>659</v>
      </c>
      <c r="C22" s="1612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4"/>
      <c r="S22" s="349"/>
      <c r="T22" s="349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715"/>
      <c r="AK22" s="715"/>
      <c r="AL22" s="715"/>
      <c r="AM22" s="715"/>
      <c r="AN22" s="715"/>
      <c r="AO22" s="715"/>
      <c r="AP22" s="715"/>
      <c r="AQ22" s="715"/>
      <c r="AR22" s="715"/>
    </row>
    <row r="23" spans="1:44" s="714" customFormat="1" ht="26.25" customHeight="1" x14ac:dyDescent="0.2">
      <c r="A23" s="1607" t="s">
        <v>660</v>
      </c>
      <c r="B23" s="1608"/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333"/>
      <c r="T23" s="333"/>
    </row>
    <row r="25" spans="1:44" x14ac:dyDescent="0.25">
      <c r="J25" s="742"/>
    </row>
    <row r="26" spans="1:44" ht="44.25" customHeight="1" x14ac:dyDescent="0.25">
      <c r="O26" s="1231" t="s">
        <v>646</v>
      </c>
      <c r="P26" s="1231"/>
      <c r="Q26" s="1231"/>
      <c r="R26" s="1231"/>
    </row>
  </sheetData>
  <mergeCells count="12">
    <mergeCell ref="A7:A8"/>
    <mergeCell ref="B7:B8"/>
    <mergeCell ref="A23:B23"/>
    <mergeCell ref="C10:R22"/>
    <mergeCell ref="O26:R26"/>
    <mergeCell ref="G1:M1"/>
    <mergeCell ref="E2:O2"/>
    <mergeCell ref="O7:R7"/>
    <mergeCell ref="C7:F7"/>
    <mergeCell ref="K7:N7"/>
    <mergeCell ref="G7:J7"/>
    <mergeCell ref="B4:S4"/>
  </mergeCells>
  <phoneticPr fontId="0" type="noConversion"/>
  <printOptions horizontalCentered="1"/>
  <pageMargins left="0.6692913385826772" right="7.874015748031496E-2" top="0.39370078740157483" bottom="0.39370078740157483" header="7.874015748031496E-2" footer="7.874015748031496E-2"/>
  <pageSetup paperSize="9" scale="8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FFC000"/>
  </sheetPr>
  <dimension ref="A1:AP27"/>
  <sheetViews>
    <sheetView topLeftCell="A2" zoomScale="85" zoomScaleNormal="85" zoomScaleSheetLayoutView="85" workbookViewId="0">
      <selection activeCell="B5" sqref="B5"/>
    </sheetView>
  </sheetViews>
  <sheetFormatPr defaultColWidth="9.140625" defaultRowHeight="15" x14ac:dyDescent="0.25"/>
  <cols>
    <col min="1" max="1" width="9.140625" style="319"/>
    <col min="2" max="2" width="13.7109375" style="319" customWidth="1"/>
    <col min="3" max="3" width="8.140625" style="319" bestFit="1" customWidth="1"/>
    <col min="4" max="4" width="9.5703125" style="319" bestFit="1" customWidth="1"/>
    <col min="5" max="5" width="4.5703125" style="319" customWidth="1"/>
    <col min="6" max="6" width="8.42578125" style="319" bestFit="1" customWidth="1"/>
    <col min="7" max="7" width="8.140625" style="319" bestFit="1" customWidth="1"/>
    <col min="8" max="8" width="9.5703125" style="319" bestFit="1" customWidth="1"/>
    <col min="9" max="9" width="5.140625" style="319" customWidth="1"/>
    <col min="10" max="10" width="7.140625" style="319" bestFit="1" customWidth="1"/>
    <col min="11" max="11" width="8.140625" style="319" bestFit="1" customWidth="1"/>
    <col min="12" max="12" width="9.5703125" style="319" bestFit="1" customWidth="1"/>
    <col min="13" max="13" width="4.42578125" style="319" customWidth="1"/>
    <col min="14" max="14" width="7.140625" style="319" bestFit="1" customWidth="1"/>
    <col min="15" max="15" width="8.140625" style="319" bestFit="1" customWidth="1"/>
    <col min="16" max="16" width="9.28515625" style="319" customWidth="1"/>
    <col min="17" max="17" width="4.85546875" style="319" customWidth="1"/>
    <col min="18" max="18" width="7.140625" style="319" bestFit="1" customWidth="1"/>
    <col min="19" max="19" width="8.140625" style="319" bestFit="1" customWidth="1"/>
    <col min="20" max="20" width="5.28515625" style="319" bestFit="1" customWidth="1"/>
    <col min="21" max="21" width="6.42578125" style="319" customWidth="1"/>
    <col min="22" max="22" width="6.140625" style="319" bestFit="1" customWidth="1"/>
    <col min="23" max="23" width="9.5703125" style="319" customWidth="1"/>
    <col min="24" max="24" width="5.28515625" style="319" bestFit="1" customWidth="1"/>
    <col min="25" max="25" width="4.140625" style="319" bestFit="1" customWidth="1"/>
    <col min="26" max="26" width="3.85546875" style="319" bestFit="1" customWidth="1"/>
    <col min="27" max="28" width="5.28515625" style="319" bestFit="1" customWidth="1"/>
    <col min="29" max="30" width="4.140625" style="319" bestFit="1" customWidth="1"/>
    <col min="31" max="31" width="9.28515625" style="319" customWidth="1"/>
    <col min="32" max="42" width="9.140625" style="319"/>
    <col min="43" max="16384" width="9.140625" style="332"/>
  </cols>
  <sheetData>
    <row r="1" spans="1:42" s="80" customFormat="1" ht="15.75" x14ac:dyDescent="0.25">
      <c r="A1" s="78"/>
      <c r="B1" s="78"/>
      <c r="C1" s="316"/>
      <c r="D1" s="316"/>
      <c r="E1" s="316"/>
      <c r="F1" s="316"/>
      <c r="G1" s="316"/>
      <c r="H1" s="316"/>
      <c r="I1" s="317" t="s">
        <v>0</v>
      </c>
      <c r="J1" s="316"/>
      <c r="K1" s="78"/>
      <c r="L1" s="78"/>
      <c r="M1" s="78"/>
      <c r="N1" s="78"/>
      <c r="O1" s="78"/>
      <c r="P1" s="78"/>
      <c r="S1" s="301"/>
      <c r="T1" s="301"/>
      <c r="U1" s="301"/>
      <c r="V1" s="301"/>
      <c r="W1" s="301"/>
      <c r="X1" s="301"/>
      <c r="Y1" s="350" t="s">
        <v>536</v>
      </c>
      <c r="Z1" s="350"/>
      <c r="AA1" s="301"/>
      <c r="AB1" s="301"/>
      <c r="AC1" s="301"/>
      <c r="AD1" s="301"/>
      <c r="AE1" s="301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2" s="80" customFormat="1" ht="20.25" x14ac:dyDescent="0.3">
      <c r="A2" s="78"/>
      <c r="B2" s="78"/>
      <c r="C2" s="78"/>
      <c r="D2" s="78"/>
      <c r="E2" s="78"/>
      <c r="F2" s="78"/>
      <c r="G2" s="1222" t="s">
        <v>493</v>
      </c>
      <c r="H2" s="1222"/>
      <c r="I2" s="1222"/>
      <c r="J2" s="1222"/>
      <c r="K2" s="1222"/>
      <c r="L2" s="1222"/>
      <c r="M2" s="1222"/>
      <c r="N2" s="318"/>
      <c r="O2" s="318"/>
      <c r="P2" s="318"/>
      <c r="Q2" s="31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</row>
    <row r="3" spans="1:42" s="80" customFormat="1" ht="20.25" x14ac:dyDescent="0.3">
      <c r="A3" s="78"/>
      <c r="B3" s="78"/>
      <c r="C3" s="78"/>
      <c r="D3" s="78"/>
      <c r="E3" s="78"/>
      <c r="F3" s="78"/>
      <c r="G3" s="308"/>
      <c r="H3" s="308"/>
      <c r="I3" s="308"/>
      <c r="J3" s="308"/>
      <c r="K3" s="308"/>
      <c r="L3" s="308"/>
      <c r="M3" s="308"/>
      <c r="N3" s="318"/>
      <c r="O3" s="318"/>
      <c r="P3" s="318"/>
      <c r="Q3" s="31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</row>
    <row r="4" spans="1:42" ht="18" x14ac:dyDescent="0.25">
      <c r="B4" s="1604" t="s">
        <v>638</v>
      </c>
      <c r="C4" s="1604"/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</row>
    <row r="5" spans="1:42" ht="15.75" x14ac:dyDescent="0.25">
      <c r="C5" s="320"/>
      <c r="D5" s="321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</row>
    <row r="6" spans="1:42" x14ac:dyDescent="0.25">
      <c r="A6" s="322" t="s">
        <v>661</v>
      </c>
    </row>
    <row r="7" spans="1:42" x14ac:dyDescent="0.25">
      <c r="B7" s="323"/>
      <c r="Q7" s="324" t="s">
        <v>127</v>
      </c>
    </row>
    <row r="8" spans="1:42" s="346" customFormat="1" ht="32.450000000000003" customHeight="1" x14ac:dyDescent="0.2">
      <c r="A8" s="1224" t="s">
        <v>2</v>
      </c>
      <c r="B8" s="1602" t="s">
        <v>3</v>
      </c>
      <c r="C8" s="1615" t="s">
        <v>435</v>
      </c>
      <c r="D8" s="1615"/>
      <c r="E8" s="1615"/>
      <c r="F8" s="1615"/>
      <c r="G8" s="1615" t="s">
        <v>436</v>
      </c>
      <c r="H8" s="1615"/>
      <c r="I8" s="1615"/>
      <c r="J8" s="1615"/>
      <c r="K8" s="1615" t="s">
        <v>437</v>
      </c>
      <c r="L8" s="1615"/>
      <c r="M8" s="1615"/>
      <c r="N8" s="1615"/>
      <c r="O8" s="1615" t="s">
        <v>438</v>
      </c>
      <c r="P8" s="1615"/>
      <c r="Q8" s="1615"/>
      <c r="R8" s="1615"/>
      <c r="S8" s="1615" t="s">
        <v>672</v>
      </c>
      <c r="T8" s="1615"/>
      <c r="U8" s="1615"/>
      <c r="V8" s="1615"/>
      <c r="W8" s="1615" t="s">
        <v>673</v>
      </c>
      <c r="X8" s="1615"/>
      <c r="Y8" s="1615"/>
      <c r="Z8" s="1615"/>
      <c r="AA8" s="1615" t="s">
        <v>674</v>
      </c>
      <c r="AB8" s="1615"/>
      <c r="AC8" s="1615"/>
      <c r="AD8" s="1615"/>
      <c r="AE8" s="1615" t="s">
        <v>675</v>
      </c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</row>
    <row r="9" spans="1:42" s="346" customFormat="1" ht="86.25" customHeight="1" x14ac:dyDescent="0.2">
      <c r="A9" s="1224"/>
      <c r="B9" s="1602"/>
      <c r="C9" s="326" t="s">
        <v>147</v>
      </c>
      <c r="D9" s="326" t="s">
        <v>149</v>
      </c>
      <c r="E9" s="326" t="s">
        <v>126</v>
      </c>
      <c r="F9" s="326" t="s">
        <v>148</v>
      </c>
      <c r="G9" s="326" t="s">
        <v>228</v>
      </c>
      <c r="H9" s="326" t="s">
        <v>149</v>
      </c>
      <c r="I9" s="326" t="s">
        <v>126</v>
      </c>
      <c r="J9" s="326" t="s">
        <v>148</v>
      </c>
      <c r="K9" s="326" t="s">
        <v>228</v>
      </c>
      <c r="L9" s="326" t="s">
        <v>149</v>
      </c>
      <c r="M9" s="326" t="s">
        <v>126</v>
      </c>
      <c r="N9" s="326" t="s">
        <v>148</v>
      </c>
      <c r="O9" s="326" t="s">
        <v>228</v>
      </c>
      <c r="P9" s="326" t="s">
        <v>149</v>
      </c>
      <c r="Q9" s="326" t="s">
        <v>126</v>
      </c>
      <c r="R9" s="326" t="s">
        <v>148</v>
      </c>
      <c r="S9" s="326" t="s">
        <v>147</v>
      </c>
      <c r="T9" s="326" t="s">
        <v>149</v>
      </c>
      <c r="U9" s="326" t="s">
        <v>126</v>
      </c>
      <c r="V9" s="326" t="s">
        <v>148</v>
      </c>
      <c r="W9" s="326" t="s">
        <v>147</v>
      </c>
      <c r="X9" s="326" t="s">
        <v>149</v>
      </c>
      <c r="Y9" s="326" t="s">
        <v>126</v>
      </c>
      <c r="Z9" s="326" t="s">
        <v>148</v>
      </c>
      <c r="AA9" s="326" t="s">
        <v>147</v>
      </c>
      <c r="AB9" s="326" t="s">
        <v>149</v>
      </c>
      <c r="AC9" s="326" t="s">
        <v>126</v>
      </c>
      <c r="AD9" s="326" t="s">
        <v>148</v>
      </c>
      <c r="AE9" s="161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</row>
    <row r="10" spans="1:42" s="347" customFormat="1" ht="18" customHeight="1" x14ac:dyDescent="0.2">
      <c r="A10" s="327">
        <v>1</v>
      </c>
      <c r="B10" s="328">
        <v>2</v>
      </c>
      <c r="C10" s="329">
        <v>3</v>
      </c>
      <c r="D10" s="329">
        <v>4</v>
      </c>
      <c r="E10" s="329">
        <v>5</v>
      </c>
      <c r="F10" s="329">
        <v>6</v>
      </c>
      <c r="G10" s="329">
        <v>7</v>
      </c>
      <c r="H10" s="329">
        <v>8</v>
      </c>
      <c r="I10" s="329">
        <v>9</v>
      </c>
      <c r="J10" s="329">
        <v>10</v>
      </c>
      <c r="K10" s="329">
        <v>11</v>
      </c>
      <c r="L10" s="329">
        <v>12</v>
      </c>
      <c r="M10" s="329">
        <v>13</v>
      </c>
      <c r="N10" s="329">
        <v>14</v>
      </c>
      <c r="O10" s="329">
        <v>15</v>
      </c>
      <c r="P10" s="329">
        <v>16</v>
      </c>
      <c r="Q10" s="329">
        <v>17</v>
      </c>
      <c r="R10" s="329">
        <v>18</v>
      </c>
      <c r="S10" s="329">
        <v>19</v>
      </c>
      <c r="T10" s="329">
        <v>20</v>
      </c>
      <c r="U10" s="329">
        <v>21</v>
      </c>
      <c r="V10" s="329">
        <v>22</v>
      </c>
      <c r="W10" s="329">
        <v>23</v>
      </c>
      <c r="X10" s="329">
        <v>24</v>
      </c>
      <c r="Y10" s="329">
        <v>25</v>
      </c>
      <c r="Z10" s="329">
        <v>26</v>
      </c>
      <c r="AA10" s="329">
        <v>27</v>
      </c>
      <c r="AB10" s="329">
        <v>28</v>
      </c>
      <c r="AC10" s="329">
        <v>29</v>
      </c>
      <c r="AD10" s="329">
        <v>30</v>
      </c>
      <c r="AE10" s="329">
        <v>31</v>
      </c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</row>
    <row r="11" spans="1:42" s="348" customFormat="1" ht="21.95" customHeight="1" x14ac:dyDescent="0.25">
      <c r="A11" s="144">
        <v>1</v>
      </c>
      <c r="B11" s="131" t="s">
        <v>647</v>
      </c>
      <c r="C11" s="335">
        <v>1938</v>
      </c>
      <c r="D11" s="335">
        <v>1938</v>
      </c>
      <c r="E11" s="336">
        <v>3</v>
      </c>
      <c r="F11" s="336">
        <f>D11*E11</f>
        <v>5814</v>
      </c>
      <c r="G11" s="335">
        <v>146</v>
      </c>
      <c r="H11" s="335">
        <v>146</v>
      </c>
      <c r="I11" s="335">
        <v>3.5</v>
      </c>
      <c r="J11" s="335">
        <f>H11*I11</f>
        <v>511</v>
      </c>
      <c r="K11" s="335">
        <v>18</v>
      </c>
      <c r="L11" s="335">
        <v>18</v>
      </c>
      <c r="M11" s="335">
        <v>4</v>
      </c>
      <c r="N11" s="335">
        <f>L11*M11</f>
        <v>72</v>
      </c>
      <c r="O11" s="335">
        <v>4</v>
      </c>
      <c r="P11" s="335">
        <v>4</v>
      </c>
      <c r="Q11" s="335">
        <v>4.5</v>
      </c>
      <c r="R11" s="335">
        <f>P11*Q11</f>
        <v>18</v>
      </c>
      <c r="S11" s="335">
        <v>3</v>
      </c>
      <c r="T11" s="335">
        <v>3</v>
      </c>
      <c r="U11" s="335">
        <v>5</v>
      </c>
      <c r="V11" s="335">
        <f>T11*U11</f>
        <v>15</v>
      </c>
      <c r="W11" s="335"/>
      <c r="X11" s="335"/>
      <c r="Y11" s="335">
        <v>5.5</v>
      </c>
      <c r="Z11" s="335">
        <f>X11*Y11</f>
        <v>0</v>
      </c>
      <c r="AA11" s="335"/>
      <c r="AB11" s="335"/>
      <c r="AC11" s="335">
        <v>6</v>
      </c>
      <c r="AD11" s="335">
        <f>AB11*AC11</f>
        <v>0</v>
      </c>
      <c r="AE11" s="336">
        <f>F11+J11+N11+R11+V11+Z11+AD11</f>
        <v>6430</v>
      </c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</row>
    <row r="12" spans="1:42" s="348" customFormat="1" ht="21.95" customHeight="1" x14ac:dyDescent="0.25">
      <c r="A12" s="144">
        <v>2</v>
      </c>
      <c r="B12" s="131" t="s">
        <v>648</v>
      </c>
      <c r="C12" s="335">
        <v>1077</v>
      </c>
      <c r="D12" s="335">
        <v>731</v>
      </c>
      <c r="E12" s="336">
        <v>3</v>
      </c>
      <c r="F12" s="336">
        <f t="shared" ref="F12:F23" si="0">D12*E12</f>
        <v>2193</v>
      </c>
      <c r="G12" s="335">
        <v>0</v>
      </c>
      <c r="H12" s="335">
        <v>0</v>
      </c>
      <c r="I12" s="335">
        <v>3.5</v>
      </c>
      <c r="J12" s="335">
        <f t="shared" ref="J12:J23" si="1">H12*I12</f>
        <v>0</v>
      </c>
      <c r="K12" s="335">
        <v>0</v>
      </c>
      <c r="L12" s="335">
        <v>0</v>
      </c>
      <c r="M12" s="335">
        <v>4</v>
      </c>
      <c r="N12" s="335">
        <f t="shared" ref="N12:N23" si="2">L12*M12</f>
        <v>0</v>
      </c>
      <c r="O12" s="335">
        <v>0</v>
      </c>
      <c r="P12" s="335">
        <v>0</v>
      </c>
      <c r="Q12" s="335">
        <v>4.5</v>
      </c>
      <c r="R12" s="335">
        <f t="shared" ref="R12:R24" si="3">P12*Q12</f>
        <v>0</v>
      </c>
      <c r="S12" s="335">
        <v>2193</v>
      </c>
      <c r="T12" s="335"/>
      <c r="U12" s="335">
        <v>5</v>
      </c>
      <c r="V12" s="335">
        <f t="shared" ref="V12:V24" si="4">T12*U12</f>
        <v>0</v>
      </c>
      <c r="W12" s="335"/>
      <c r="X12" s="335"/>
      <c r="Y12" s="335">
        <v>5.5</v>
      </c>
      <c r="Z12" s="335">
        <f t="shared" ref="Z12:Z24" si="5">X12*Y12</f>
        <v>0</v>
      </c>
      <c r="AA12" s="335"/>
      <c r="AB12" s="335"/>
      <c r="AC12" s="335">
        <v>6</v>
      </c>
      <c r="AD12" s="335">
        <f t="shared" ref="AD12:AD24" si="6">AB12*AC12</f>
        <v>0</v>
      </c>
      <c r="AE12" s="336">
        <f t="shared" ref="AE12:AE23" si="7">F12+J12+N12+R12+V12+Z12+AD12</f>
        <v>2193</v>
      </c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</row>
    <row r="13" spans="1:42" s="348" customFormat="1" ht="21.95" customHeight="1" x14ac:dyDescent="0.25">
      <c r="A13" s="144">
        <v>3</v>
      </c>
      <c r="B13" s="131" t="s">
        <v>649</v>
      </c>
      <c r="C13" s="335">
        <v>1720</v>
      </c>
      <c r="D13" s="335">
        <v>1720</v>
      </c>
      <c r="E13" s="336">
        <v>3</v>
      </c>
      <c r="F13" s="336">
        <f t="shared" si="0"/>
        <v>5160</v>
      </c>
      <c r="G13" s="335">
        <v>0</v>
      </c>
      <c r="H13" s="335">
        <v>0</v>
      </c>
      <c r="I13" s="335">
        <v>3.5</v>
      </c>
      <c r="J13" s="335">
        <f t="shared" si="1"/>
        <v>0</v>
      </c>
      <c r="K13" s="335">
        <v>0</v>
      </c>
      <c r="L13" s="335">
        <v>0</v>
      </c>
      <c r="M13" s="335">
        <v>4</v>
      </c>
      <c r="N13" s="335">
        <f t="shared" si="2"/>
        <v>0</v>
      </c>
      <c r="O13" s="335">
        <v>0</v>
      </c>
      <c r="P13" s="335">
        <v>0</v>
      </c>
      <c r="Q13" s="335">
        <v>4.5</v>
      </c>
      <c r="R13" s="335">
        <f t="shared" si="3"/>
        <v>0</v>
      </c>
      <c r="S13" s="335">
        <v>5160</v>
      </c>
      <c r="T13" s="335"/>
      <c r="U13" s="335">
        <v>5</v>
      </c>
      <c r="V13" s="335">
        <f t="shared" si="4"/>
        <v>0</v>
      </c>
      <c r="W13" s="335"/>
      <c r="X13" s="335"/>
      <c r="Y13" s="335">
        <v>5.5</v>
      </c>
      <c r="Z13" s="335">
        <f t="shared" si="5"/>
        <v>0</v>
      </c>
      <c r="AA13" s="335"/>
      <c r="AB13" s="335"/>
      <c r="AC13" s="335">
        <v>6</v>
      </c>
      <c r="AD13" s="335">
        <f t="shared" si="6"/>
        <v>0</v>
      </c>
      <c r="AE13" s="336">
        <f t="shared" si="7"/>
        <v>5160</v>
      </c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</row>
    <row r="14" spans="1:42" s="348" customFormat="1" ht="21.95" customHeight="1" x14ac:dyDescent="0.25">
      <c r="A14" s="144">
        <v>4</v>
      </c>
      <c r="B14" s="131" t="s">
        <v>650</v>
      </c>
      <c r="C14" s="335">
        <v>1280</v>
      </c>
      <c r="D14" s="335">
        <v>1280</v>
      </c>
      <c r="E14" s="336">
        <v>3</v>
      </c>
      <c r="F14" s="336">
        <f t="shared" si="0"/>
        <v>3840</v>
      </c>
      <c r="G14" s="335">
        <v>435</v>
      </c>
      <c r="H14" s="335">
        <v>435</v>
      </c>
      <c r="I14" s="335">
        <v>3.5</v>
      </c>
      <c r="J14" s="335">
        <f t="shared" si="1"/>
        <v>1522.5</v>
      </c>
      <c r="K14" s="335">
        <v>76</v>
      </c>
      <c r="L14" s="335">
        <v>76</v>
      </c>
      <c r="M14" s="335">
        <v>4</v>
      </c>
      <c r="N14" s="335">
        <f t="shared" si="2"/>
        <v>304</v>
      </c>
      <c r="O14" s="335">
        <v>198</v>
      </c>
      <c r="P14" s="335">
        <v>198</v>
      </c>
      <c r="Q14" s="335">
        <v>4.5</v>
      </c>
      <c r="R14" s="335">
        <f t="shared" si="3"/>
        <v>891</v>
      </c>
      <c r="S14" s="335"/>
      <c r="T14" s="335"/>
      <c r="U14" s="335">
        <v>5</v>
      </c>
      <c r="V14" s="335">
        <f t="shared" si="4"/>
        <v>0</v>
      </c>
      <c r="W14" s="335"/>
      <c r="X14" s="335"/>
      <c r="Y14" s="335">
        <v>5.5</v>
      </c>
      <c r="Z14" s="335">
        <f t="shared" si="5"/>
        <v>0</v>
      </c>
      <c r="AA14" s="335"/>
      <c r="AB14" s="335"/>
      <c r="AC14" s="335">
        <v>6</v>
      </c>
      <c r="AD14" s="335">
        <f t="shared" si="6"/>
        <v>0</v>
      </c>
      <c r="AE14" s="336">
        <f t="shared" si="7"/>
        <v>6557.5</v>
      </c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</row>
    <row r="15" spans="1:42" s="348" customFormat="1" ht="21.95" customHeight="1" x14ac:dyDescent="0.25">
      <c r="A15" s="144">
        <v>5</v>
      </c>
      <c r="B15" s="131" t="s">
        <v>651</v>
      </c>
      <c r="C15" s="335">
        <v>1518</v>
      </c>
      <c r="D15" s="335">
        <v>1518</v>
      </c>
      <c r="E15" s="336">
        <v>3</v>
      </c>
      <c r="F15" s="336">
        <f t="shared" si="0"/>
        <v>4554</v>
      </c>
      <c r="G15" s="335">
        <v>130</v>
      </c>
      <c r="H15" s="335">
        <v>130</v>
      </c>
      <c r="I15" s="335">
        <v>3.5</v>
      </c>
      <c r="J15" s="335">
        <f t="shared" si="1"/>
        <v>455</v>
      </c>
      <c r="K15" s="335">
        <v>36</v>
      </c>
      <c r="L15" s="335">
        <v>36</v>
      </c>
      <c r="M15" s="335">
        <v>4</v>
      </c>
      <c r="N15" s="335">
        <f t="shared" si="2"/>
        <v>144</v>
      </c>
      <c r="O15" s="335">
        <v>29</v>
      </c>
      <c r="P15" s="335">
        <v>29</v>
      </c>
      <c r="Q15" s="335">
        <v>4.5</v>
      </c>
      <c r="R15" s="335">
        <f t="shared" si="3"/>
        <v>130.5</v>
      </c>
      <c r="S15" s="335">
        <v>16</v>
      </c>
      <c r="T15" s="335">
        <v>16</v>
      </c>
      <c r="U15" s="335">
        <v>5</v>
      </c>
      <c r="V15" s="335">
        <f t="shared" si="4"/>
        <v>80</v>
      </c>
      <c r="W15" s="335">
        <v>5</v>
      </c>
      <c r="X15" s="337">
        <v>5</v>
      </c>
      <c r="Y15" s="335">
        <v>5.5</v>
      </c>
      <c r="Z15" s="335">
        <f t="shared" si="5"/>
        <v>27.5</v>
      </c>
      <c r="AA15" s="337">
        <v>2</v>
      </c>
      <c r="AB15" s="337">
        <v>2</v>
      </c>
      <c r="AC15" s="335">
        <v>6</v>
      </c>
      <c r="AD15" s="335">
        <f t="shared" si="6"/>
        <v>12</v>
      </c>
      <c r="AE15" s="336">
        <f t="shared" si="7"/>
        <v>5403</v>
      </c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</row>
    <row r="16" spans="1:42" s="348" customFormat="1" ht="21.95" customHeight="1" x14ac:dyDescent="0.25">
      <c r="A16" s="144">
        <v>6</v>
      </c>
      <c r="B16" s="131" t="s">
        <v>652</v>
      </c>
      <c r="C16" s="335">
        <v>1514</v>
      </c>
      <c r="D16" s="335">
        <v>1514</v>
      </c>
      <c r="E16" s="336">
        <v>3</v>
      </c>
      <c r="F16" s="336">
        <f t="shared" si="0"/>
        <v>4542</v>
      </c>
      <c r="G16" s="335">
        <v>171</v>
      </c>
      <c r="H16" s="335">
        <v>171</v>
      </c>
      <c r="I16" s="335">
        <v>3.5</v>
      </c>
      <c r="J16" s="335">
        <f t="shared" si="1"/>
        <v>598.5</v>
      </c>
      <c r="K16" s="335">
        <v>35</v>
      </c>
      <c r="L16" s="335">
        <v>35</v>
      </c>
      <c r="M16" s="335">
        <v>4</v>
      </c>
      <c r="N16" s="335">
        <f t="shared" si="2"/>
        <v>140</v>
      </c>
      <c r="O16" s="335">
        <v>16</v>
      </c>
      <c r="P16" s="335">
        <v>16</v>
      </c>
      <c r="Q16" s="335">
        <v>4.5</v>
      </c>
      <c r="R16" s="335">
        <f t="shared" si="3"/>
        <v>72</v>
      </c>
      <c r="S16" s="335">
        <v>8</v>
      </c>
      <c r="T16" s="335">
        <v>8</v>
      </c>
      <c r="U16" s="335">
        <v>5</v>
      </c>
      <c r="V16" s="335">
        <f t="shared" si="4"/>
        <v>40</v>
      </c>
      <c r="W16" s="335">
        <v>8</v>
      </c>
      <c r="X16" s="337">
        <v>8</v>
      </c>
      <c r="Y16" s="335">
        <v>5.5</v>
      </c>
      <c r="Z16" s="335">
        <f t="shared" si="5"/>
        <v>44</v>
      </c>
      <c r="AA16" s="337">
        <v>3</v>
      </c>
      <c r="AB16" s="337">
        <v>3</v>
      </c>
      <c r="AC16" s="335">
        <v>6</v>
      </c>
      <c r="AD16" s="335">
        <f t="shared" si="6"/>
        <v>18</v>
      </c>
      <c r="AE16" s="336">
        <f t="shared" si="7"/>
        <v>5454.5</v>
      </c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</row>
    <row r="17" spans="1:42" s="348" customFormat="1" ht="21.95" customHeight="1" x14ac:dyDescent="0.25">
      <c r="A17" s="144">
        <v>7</v>
      </c>
      <c r="B17" s="131" t="s">
        <v>653</v>
      </c>
      <c r="C17" s="335">
        <v>1096</v>
      </c>
      <c r="D17" s="335">
        <v>1096</v>
      </c>
      <c r="E17" s="336">
        <v>3</v>
      </c>
      <c r="F17" s="336">
        <f t="shared" si="0"/>
        <v>3288</v>
      </c>
      <c r="G17" s="335">
        <v>265</v>
      </c>
      <c r="H17" s="335">
        <v>265</v>
      </c>
      <c r="I17" s="335">
        <v>3.5</v>
      </c>
      <c r="J17" s="335">
        <f t="shared" si="1"/>
        <v>927.5</v>
      </c>
      <c r="K17" s="335">
        <v>156</v>
      </c>
      <c r="L17" s="335">
        <v>156</v>
      </c>
      <c r="M17" s="335">
        <v>4</v>
      </c>
      <c r="N17" s="335">
        <f t="shared" si="2"/>
        <v>624</v>
      </c>
      <c r="O17" s="335">
        <v>205</v>
      </c>
      <c r="P17" s="335">
        <v>205</v>
      </c>
      <c r="Q17" s="335">
        <v>4.5</v>
      </c>
      <c r="R17" s="335">
        <f>P17*Q17</f>
        <v>922.5</v>
      </c>
      <c r="S17" s="335">
        <v>5881.2</v>
      </c>
      <c r="T17" s="335"/>
      <c r="U17" s="335">
        <v>5</v>
      </c>
      <c r="V17" s="335">
        <f t="shared" si="4"/>
        <v>0</v>
      </c>
      <c r="W17" s="335"/>
      <c r="X17" s="335"/>
      <c r="Y17" s="335">
        <v>5.5</v>
      </c>
      <c r="Z17" s="335">
        <f t="shared" si="5"/>
        <v>0</v>
      </c>
      <c r="AA17" s="335"/>
      <c r="AB17" s="335"/>
      <c r="AC17" s="335">
        <v>6</v>
      </c>
      <c r="AD17" s="335">
        <f t="shared" si="6"/>
        <v>0</v>
      </c>
      <c r="AE17" s="336">
        <f t="shared" si="7"/>
        <v>5762</v>
      </c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</row>
    <row r="18" spans="1:42" ht="21.95" customHeight="1" x14ac:dyDescent="0.25">
      <c r="A18" s="144">
        <v>8</v>
      </c>
      <c r="B18" s="131" t="s">
        <v>654</v>
      </c>
      <c r="C18" s="338">
        <v>866</v>
      </c>
      <c r="D18" s="338">
        <v>866</v>
      </c>
      <c r="E18" s="336">
        <v>3</v>
      </c>
      <c r="F18" s="336">
        <f t="shared" si="0"/>
        <v>2598</v>
      </c>
      <c r="G18" s="338">
        <v>382</v>
      </c>
      <c r="H18" s="338">
        <v>382</v>
      </c>
      <c r="I18" s="335">
        <v>3.5</v>
      </c>
      <c r="J18" s="335">
        <f t="shared" si="1"/>
        <v>1337</v>
      </c>
      <c r="K18" s="338">
        <v>96</v>
      </c>
      <c r="L18" s="338">
        <v>96</v>
      </c>
      <c r="M18" s="335">
        <v>4</v>
      </c>
      <c r="N18" s="335">
        <f t="shared" si="2"/>
        <v>384</v>
      </c>
      <c r="O18" s="338">
        <v>116</v>
      </c>
      <c r="P18" s="338">
        <v>116</v>
      </c>
      <c r="Q18" s="335">
        <v>4.5</v>
      </c>
      <c r="R18" s="335">
        <f t="shared" si="3"/>
        <v>522</v>
      </c>
      <c r="S18" s="338">
        <v>4398.0000000000009</v>
      </c>
      <c r="T18" s="338"/>
      <c r="U18" s="335">
        <v>5</v>
      </c>
      <c r="V18" s="335">
        <f t="shared" si="4"/>
        <v>0</v>
      </c>
      <c r="W18" s="338"/>
      <c r="X18" s="338"/>
      <c r="Y18" s="335">
        <v>5.5</v>
      </c>
      <c r="Z18" s="335">
        <f t="shared" si="5"/>
        <v>0</v>
      </c>
      <c r="AA18" s="338"/>
      <c r="AB18" s="338"/>
      <c r="AC18" s="335">
        <v>6</v>
      </c>
      <c r="AD18" s="335">
        <f t="shared" si="6"/>
        <v>0</v>
      </c>
      <c r="AE18" s="336">
        <f t="shared" si="7"/>
        <v>4841</v>
      </c>
    </row>
    <row r="19" spans="1:42" ht="21.95" customHeight="1" x14ac:dyDescent="0.25">
      <c r="A19" s="144">
        <v>9</v>
      </c>
      <c r="B19" s="131" t="s">
        <v>655</v>
      </c>
      <c r="C19" s="338">
        <v>1980</v>
      </c>
      <c r="D19" s="338">
        <v>1980</v>
      </c>
      <c r="E19" s="336">
        <v>3</v>
      </c>
      <c r="F19" s="336">
        <f t="shared" si="0"/>
        <v>5940</v>
      </c>
      <c r="G19" s="338">
        <v>38</v>
      </c>
      <c r="H19" s="338">
        <v>38</v>
      </c>
      <c r="I19" s="335">
        <v>3.5</v>
      </c>
      <c r="J19" s="335">
        <f t="shared" si="1"/>
        <v>133</v>
      </c>
      <c r="K19" s="338">
        <v>6</v>
      </c>
      <c r="L19" s="338">
        <v>6</v>
      </c>
      <c r="M19" s="335">
        <v>4</v>
      </c>
      <c r="N19" s="335">
        <f t="shared" si="2"/>
        <v>24</v>
      </c>
      <c r="O19" s="338">
        <v>2</v>
      </c>
      <c r="P19" s="338">
        <v>2</v>
      </c>
      <c r="Q19" s="335">
        <v>4.5</v>
      </c>
      <c r="R19" s="335">
        <f t="shared" si="3"/>
        <v>9</v>
      </c>
      <c r="S19" s="338">
        <v>6111.6</v>
      </c>
      <c r="T19" s="338"/>
      <c r="U19" s="335">
        <v>5</v>
      </c>
      <c r="V19" s="335">
        <f t="shared" si="4"/>
        <v>0</v>
      </c>
      <c r="W19" s="338"/>
      <c r="X19" s="338"/>
      <c r="Y19" s="335">
        <v>5.5</v>
      </c>
      <c r="Z19" s="335">
        <f t="shared" si="5"/>
        <v>0</v>
      </c>
      <c r="AA19" s="338"/>
      <c r="AB19" s="338"/>
      <c r="AC19" s="335">
        <v>6</v>
      </c>
      <c r="AD19" s="335">
        <f t="shared" si="6"/>
        <v>0</v>
      </c>
      <c r="AE19" s="336">
        <f t="shared" si="7"/>
        <v>6106</v>
      </c>
    </row>
    <row r="20" spans="1:42" ht="21.95" customHeight="1" x14ac:dyDescent="0.25">
      <c r="A20" s="144">
        <v>10</v>
      </c>
      <c r="B20" s="131" t="s">
        <v>656</v>
      </c>
      <c r="C20" s="339">
        <v>906</v>
      </c>
      <c r="D20" s="339">
        <v>650</v>
      </c>
      <c r="E20" s="340">
        <v>3</v>
      </c>
      <c r="F20" s="340">
        <f>D20*E20</f>
        <v>1950</v>
      </c>
      <c r="G20" s="339">
        <v>18</v>
      </c>
      <c r="H20" s="339">
        <v>18</v>
      </c>
      <c r="I20" s="340">
        <v>3.6</v>
      </c>
      <c r="J20" s="340">
        <f>H20*I20</f>
        <v>64.8</v>
      </c>
      <c r="K20" s="339">
        <v>2</v>
      </c>
      <c r="L20" s="339">
        <v>2</v>
      </c>
      <c r="M20" s="340">
        <v>4.2</v>
      </c>
      <c r="N20" s="340">
        <f>L20*M20</f>
        <v>8.4</v>
      </c>
      <c r="O20" s="339">
        <v>2</v>
      </c>
      <c r="P20" s="339">
        <v>2</v>
      </c>
      <c r="Q20" s="340">
        <v>4.8</v>
      </c>
      <c r="R20" s="340">
        <f>P20*Q20</f>
        <v>9.6</v>
      </c>
      <c r="S20" s="339">
        <v>2</v>
      </c>
      <c r="T20" s="339">
        <v>2</v>
      </c>
      <c r="U20" s="340">
        <v>5.7</v>
      </c>
      <c r="V20" s="340">
        <f>T20*U20</f>
        <v>11.4</v>
      </c>
      <c r="W20" s="341"/>
      <c r="X20" s="338"/>
      <c r="Y20" s="335">
        <v>5.5</v>
      </c>
      <c r="Z20" s="335">
        <f t="shared" si="5"/>
        <v>0</v>
      </c>
      <c r="AA20" s="338"/>
      <c r="AB20" s="338"/>
      <c r="AC20" s="335">
        <v>6</v>
      </c>
      <c r="AD20" s="335">
        <f t="shared" si="6"/>
        <v>0</v>
      </c>
      <c r="AE20" s="336">
        <f t="shared" si="7"/>
        <v>2044.2</v>
      </c>
    </row>
    <row r="21" spans="1:42" ht="21.95" customHeight="1" x14ac:dyDescent="0.25">
      <c r="A21" s="144">
        <v>11</v>
      </c>
      <c r="B21" s="131" t="s">
        <v>657</v>
      </c>
      <c r="C21" s="338">
        <v>372</v>
      </c>
      <c r="D21" s="338">
        <v>372</v>
      </c>
      <c r="E21" s="336">
        <v>3</v>
      </c>
      <c r="F21" s="336">
        <f t="shared" si="0"/>
        <v>1116</v>
      </c>
      <c r="G21" s="338">
        <v>18</v>
      </c>
      <c r="H21" s="338">
        <v>0</v>
      </c>
      <c r="I21" s="335">
        <v>3.5</v>
      </c>
      <c r="J21" s="335">
        <f t="shared" si="1"/>
        <v>0</v>
      </c>
      <c r="K21" s="338">
        <v>0</v>
      </c>
      <c r="L21" s="338">
        <v>0</v>
      </c>
      <c r="M21" s="335">
        <v>4</v>
      </c>
      <c r="N21" s="335">
        <f t="shared" si="2"/>
        <v>0</v>
      </c>
      <c r="O21" s="338">
        <v>0</v>
      </c>
      <c r="P21" s="338">
        <v>0</v>
      </c>
      <c r="Q21" s="335">
        <v>4.5</v>
      </c>
      <c r="R21" s="335">
        <f t="shared" si="3"/>
        <v>0</v>
      </c>
      <c r="S21" s="338">
        <v>0</v>
      </c>
      <c r="T21" s="338"/>
      <c r="U21" s="335">
        <v>5</v>
      </c>
      <c r="V21" s="335">
        <f t="shared" si="4"/>
        <v>0</v>
      </c>
      <c r="W21" s="338"/>
      <c r="X21" s="338"/>
      <c r="Y21" s="335">
        <v>5.5</v>
      </c>
      <c r="Z21" s="335">
        <f t="shared" si="5"/>
        <v>0</v>
      </c>
      <c r="AA21" s="338"/>
      <c r="AB21" s="338"/>
      <c r="AC21" s="335">
        <v>6</v>
      </c>
      <c r="AD21" s="335">
        <f t="shared" si="6"/>
        <v>0</v>
      </c>
      <c r="AE21" s="336">
        <f t="shared" si="7"/>
        <v>1116</v>
      </c>
    </row>
    <row r="22" spans="1:42" ht="21.95" customHeight="1" x14ac:dyDescent="0.25">
      <c r="A22" s="144">
        <v>12</v>
      </c>
      <c r="B22" s="131" t="s">
        <v>658</v>
      </c>
      <c r="C22" s="338">
        <v>1070</v>
      </c>
      <c r="D22" s="338">
        <v>1070</v>
      </c>
      <c r="E22" s="336">
        <v>3</v>
      </c>
      <c r="F22" s="336">
        <f t="shared" si="0"/>
        <v>3210</v>
      </c>
      <c r="G22" s="338">
        <v>593</v>
      </c>
      <c r="H22" s="338">
        <v>593</v>
      </c>
      <c r="I22" s="335">
        <v>3.5</v>
      </c>
      <c r="J22" s="335">
        <f t="shared" si="1"/>
        <v>2075.5</v>
      </c>
      <c r="K22" s="338">
        <v>67</v>
      </c>
      <c r="L22" s="338">
        <v>67</v>
      </c>
      <c r="M22" s="335">
        <v>4</v>
      </c>
      <c r="N22" s="335">
        <f t="shared" si="2"/>
        <v>268</v>
      </c>
      <c r="O22" s="338">
        <v>224</v>
      </c>
      <c r="P22" s="338">
        <v>224</v>
      </c>
      <c r="Q22" s="335">
        <v>4.5</v>
      </c>
      <c r="R22" s="335">
        <f t="shared" si="3"/>
        <v>1008</v>
      </c>
      <c r="S22" s="338">
        <v>4785.3999999999996</v>
      </c>
      <c r="T22" s="338"/>
      <c r="U22" s="335">
        <v>5</v>
      </c>
      <c r="V22" s="335">
        <f t="shared" si="4"/>
        <v>0</v>
      </c>
      <c r="W22" s="338"/>
      <c r="X22" s="338"/>
      <c r="Y22" s="335">
        <v>5.5</v>
      </c>
      <c r="Z22" s="335">
        <f t="shared" si="5"/>
        <v>0</v>
      </c>
      <c r="AA22" s="338"/>
      <c r="AB22" s="338"/>
      <c r="AC22" s="335">
        <v>6</v>
      </c>
      <c r="AD22" s="335">
        <f t="shared" si="6"/>
        <v>0</v>
      </c>
      <c r="AE22" s="336">
        <f t="shared" si="7"/>
        <v>6561.5</v>
      </c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</row>
    <row r="23" spans="1:42" ht="21.95" customHeight="1" x14ac:dyDescent="0.25">
      <c r="A23" s="144">
        <v>13</v>
      </c>
      <c r="B23" s="130" t="s">
        <v>659</v>
      </c>
      <c r="C23" s="338">
        <v>747</v>
      </c>
      <c r="D23" s="338">
        <v>747</v>
      </c>
      <c r="E23" s="336">
        <v>3</v>
      </c>
      <c r="F23" s="336">
        <f t="shared" si="0"/>
        <v>2241</v>
      </c>
      <c r="G23" s="338">
        <v>353</v>
      </c>
      <c r="H23" s="338">
        <v>353</v>
      </c>
      <c r="I23" s="335">
        <v>3.5</v>
      </c>
      <c r="J23" s="335">
        <f t="shared" si="1"/>
        <v>1235.5</v>
      </c>
      <c r="K23" s="338">
        <v>103</v>
      </c>
      <c r="L23" s="338">
        <v>103</v>
      </c>
      <c r="M23" s="335">
        <v>4</v>
      </c>
      <c r="N23" s="335">
        <f t="shared" si="2"/>
        <v>412</v>
      </c>
      <c r="O23" s="338">
        <v>62</v>
      </c>
      <c r="P23" s="338">
        <v>62</v>
      </c>
      <c r="Q23" s="335">
        <v>4.5</v>
      </c>
      <c r="R23" s="335">
        <f t="shared" si="3"/>
        <v>279</v>
      </c>
      <c r="S23" s="338">
        <v>4242</v>
      </c>
      <c r="T23" s="338"/>
      <c r="U23" s="335">
        <v>5</v>
      </c>
      <c r="V23" s="335">
        <f t="shared" si="4"/>
        <v>0</v>
      </c>
      <c r="W23" s="338"/>
      <c r="X23" s="338"/>
      <c r="Y23" s="335">
        <v>5.5</v>
      </c>
      <c r="Z23" s="335">
        <f t="shared" si="5"/>
        <v>0</v>
      </c>
      <c r="AA23" s="338"/>
      <c r="AB23" s="338"/>
      <c r="AC23" s="335">
        <v>6</v>
      </c>
      <c r="AD23" s="335">
        <f t="shared" si="6"/>
        <v>0</v>
      </c>
      <c r="AE23" s="336">
        <f t="shared" si="7"/>
        <v>4167.5</v>
      </c>
    </row>
    <row r="24" spans="1:42" s="349" customFormat="1" ht="21.95" customHeight="1" x14ac:dyDescent="0.2">
      <c r="A24" s="1616" t="s">
        <v>13</v>
      </c>
      <c r="B24" s="1616"/>
      <c r="C24" s="342">
        <f>SUM(C11:C23)</f>
        <v>16084</v>
      </c>
      <c r="D24" s="342">
        <f t="shared" ref="D24:T24" si="8">SUM(D11:D23)</f>
        <v>15482</v>
      </c>
      <c r="E24" s="343">
        <v>3</v>
      </c>
      <c r="F24" s="343">
        <f>SUM(F11:F23)</f>
        <v>46446</v>
      </c>
      <c r="G24" s="342">
        <f t="shared" si="8"/>
        <v>2549</v>
      </c>
      <c r="H24" s="342">
        <f t="shared" si="8"/>
        <v>2531</v>
      </c>
      <c r="I24" s="344">
        <v>3.5</v>
      </c>
      <c r="J24" s="344"/>
      <c r="K24" s="342">
        <f t="shared" si="8"/>
        <v>595</v>
      </c>
      <c r="L24" s="342">
        <f t="shared" si="8"/>
        <v>595</v>
      </c>
      <c r="M24" s="344">
        <v>4</v>
      </c>
      <c r="N24" s="342">
        <f t="shared" si="8"/>
        <v>2380.4</v>
      </c>
      <c r="O24" s="342">
        <f t="shared" si="8"/>
        <v>858</v>
      </c>
      <c r="P24" s="342">
        <f t="shared" si="8"/>
        <v>858</v>
      </c>
      <c r="Q24" s="344">
        <v>4.5</v>
      </c>
      <c r="R24" s="344">
        <f t="shared" si="3"/>
        <v>3861</v>
      </c>
      <c r="S24" s="342"/>
      <c r="T24" s="342">
        <f t="shared" si="8"/>
        <v>29</v>
      </c>
      <c r="U24" s="344">
        <v>5</v>
      </c>
      <c r="V24" s="344">
        <f t="shared" si="4"/>
        <v>145</v>
      </c>
      <c r="W24" s="342"/>
      <c r="X24" s="342"/>
      <c r="Y24" s="344">
        <v>5.5</v>
      </c>
      <c r="Z24" s="344">
        <f t="shared" si="5"/>
        <v>0</v>
      </c>
      <c r="AA24" s="342"/>
      <c r="AB24" s="342"/>
      <c r="AC24" s="344">
        <v>6</v>
      </c>
      <c r="AD24" s="344">
        <f t="shared" si="6"/>
        <v>0</v>
      </c>
      <c r="AE24" s="345">
        <f>F24+J24+N24+R24+V24+Z24+AD24</f>
        <v>52832.4</v>
      </c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</row>
    <row r="25" spans="1:42" x14ac:dyDescent="0.25">
      <c r="A25" s="334" t="s">
        <v>471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</row>
    <row r="27" spans="1:42" ht="58.5" customHeight="1" x14ac:dyDescent="0.25">
      <c r="X27" s="1142" t="s">
        <v>646</v>
      </c>
      <c r="Y27" s="1142"/>
      <c r="Z27" s="1142"/>
      <c r="AA27" s="1142"/>
      <c r="AB27" s="1142"/>
      <c r="AC27" s="1142"/>
      <c r="AD27" s="1142"/>
      <c r="AE27" s="1142"/>
    </row>
  </sheetData>
  <mergeCells count="14">
    <mergeCell ref="X27:AE27"/>
    <mergeCell ref="A8:A9"/>
    <mergeCell ref="B8:B9"/>
    <mergeCell ref="C8:F8"/>
    <mergeCell ref="G8:J8"/>
    <mergeCell ref="K8:N8"/>
    <mergeCell ref="O8:R8"/>
    <mergeCell ref="A24:B24"/>
    <mergeCell ref="B4:AE4"/>
    <mergeCell ref="G2:M2"/>
    <mergeCell ref="S8:V8"/>
    <mergeCell ref="AE8:AE9"/>
    <mergeCell ref="W8:Z8"/>
    <mergeCell ref="AA8:AD8"/>
  </mergeCells>
  <phoneticPr fontId="0" type="noConversion"/>
  <printOptions horizontalCentered="1"/>
  <pageMargins left="0.39370078740157483" right="3.937007874015748E-2" top="0.35433070866141736" bottom="0.19685039370078741" header="7.874015748031496E-2" footer="7.874015748031496E-2"/>
  <pageSetup paperSize="9" scale="6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0070C0"/>
  </sheetPr>
  <dimension ref="A1:AV35"/>
  <sheetViews>
    <sheetView topLeftCell="A2" zoomScale="85" zoomScaleNormal="85" zoomScaleSheetLayoutView="85" workbookViewId="0">
      <selection activeCell="L11" sqref="L11"/>
    </sheetView>
  </sheetViews>
  <sheetFormatPr defaultColWidth="9.140625" defaultRowHeight="15" x14ac:dyDescent="0.25"/>
  <cols>
    <col min="1" max="1" width="9.140625" style="319"/>
    <col min="2" max="2" width="13.7109375" style="319" customWidth="1"/>
    <col min="3" max="3" width="8.140625" style="319" bestFit="1" customWidth="1"/>
    <col min="4" max="4" width="9.5703125" style="319" bestFit="1" customWidth="1"/>
    <col min="5" max="5" width="4.5703125" style="319" customWidth="1"/>
    <col min="6" max="6" width="8.42578125" style="319" bestFit="1" customWidth="1"/>
    <col min="7" max="7" width="8.140625" style="319" bestFit="1" customWidth="1"/>
    <col min="8" max="8" width="9.5703125" style="319" bestFit="1" customWidth="1"/>
    <col min="9" max="9" width="5.140625" style="319" customWidth="1"/>
    <col min="10" max="10" width="7.140625" style="319" bestFit="1" customWidth="1"/>
    <col min="11" max="11" width="8.140625" style="319" bestFit="1" customWidth="1"/>
    <col min="12" max="12" width="9.5703125" style="319" bestFit="1" customWidth="1"/>
    <col min="13" max="13" width="4.42578125" style="319" customWidth="1"/>
    <col min="14" max="14" width="7.140625" style="319" bestFit="1" customWidth="1"/>
    <col min="15" max="15" width="8.140625" style="319" bestFit="1" customWidth="1"/>
    <col min="16" max="16" width="9.28515625" style="319" customWidth="1"/>
    <col min="17" max="17" width="4.85546875" style="319" customWidth="1"/>
    <col min="18" max="18" width="7.140625" style="319" bestFit="1" customWidth="1"/>
    <col min="19" max="19" width="8.140625" style="319" bestFit="1" customWidth="1"/>
    <col min="20" max="20" width="5.28515625" style="319" bestFit="1" customWidth="1"/>
    <col min="21" max="21" width="6.42578125" style="319" customWidth="1"/>
    <col min="22" max="22" width="6.140625" style="319" bestFit="1" customWidth="1"/>
    <col min="23" max="23" width="9.5703125" style="319" customWidth="1"/>
    <col min="24" max="24" width="5.28515625" style="319" bestFit="1" customWidth="1"/>
    <col min="25" max="25" width="4.140625" style="319" bestFit="1" customWidth="1"/>
    <col min="26" max="26" width="4.7109375" style="319" bestFit="1" customWidth="1"/>
    <col min="27" max="28" width="5.28515625" style="319" bestFit="1" customWidth="1"/>
    <col min="29" max="30" width="4.140625" style="319" bestFit="1" customWidth="1"/>
    <col min="31" max="31" width="9.28515625" style="319" customWidth="1"/>
    <col min="32" max="32" width="9.28515625" style="332" customWidth="1"/>
    <col min="33" max="33" width="9.28515625" style="332" hidden="1" customWidth="1"/>
    <col min="34" max="34" width="13.42578125" style="319" hidden="1" customWidth="1"/>
    <col min="35" max="40" width="9.140625" style="319" hidden="1" customWidth="1"/>
    <col min="41" max="47" width="9.140625" style="332" hidden="1" customWidth="1"/>
    <col min="48" max="48" width="0" style="332" hidden="1" customWidth="1"/>
    <col min="49" max="16384" width="9.140625" style="332"/>
  </cols>
  <sheetData>
    <row r="1" spans="1:48" s="80" customFormat="1" ht="15.75" x14ac:dyDescent="0.25">
      <c r="A1" s="78"/>
      <c r="B1" s="78"/>
      <c r="C1" s="316"/>
      <c r="D1" s="316"/>
      <c r="E1" s="316"/>
      <c r="F1" s="316"/>
      <c r="G1" s="316"/>
      <c r="H1" s="316"/>
      <c r="I1" s="317" t="s">
        <v>0</v>
      </c>
      <c r="J1" s="316"/>
      <c r="K1" s="78"/>
      <c r="L1" s="78"/>
      <c r="M1" s="78"/>
      <c r="N1" s="78"/>
      <c r="O1" s="78"/>
      <c r="P1" s="78"/>
      <c r="S1" s="541"/>
      <c r="T1" s="541"/>
      <c r="U1" s="541"/>
      <c r="V1" s="541"/>
      <c r="W1" s="541"/>
      <c r="X1" s="541"/>
      <c r="Y1" s="350" t="s">
        <v>536</v>
      </c>
      <c r="Z1" s="350"/>
      <c r="AA1" s="541"/>
      <c r="AB1" s="541"/>
      <c r="AC1" s="541"/>
      <c r="AD1" s="541"/>
      <c r="AE1" s="541"/>
      <c r="AF1" s="700"/>
      <c r="AG1" s="700"/>
      <c r="AH1" s="78"/>
      <c r="AI1" s="78"/>
      <c r="AJ1" s="78"/>
      <c r="AK1" s="78"/>
      <c r="AL1" s="78"/>
      <c r="AM1" s="78"/>
      <c r="AN1" s="78"/>
    </row>
    <row r="2" spans="1:48" s="80" customFormat="1" ht="20.25" x14ac:dyDescent="0.3">
      <c r="A2" s="78"/>
      <c r="B2" s="78"/>
      <c r="C2" s="78"/>
      <c r="D2" s="78"/>
      <c r="E2" s="78"/>
      <c r="F2" s="78"/>
      <c r="G2" s="318" t="s">
        <v>493</v>
      </c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H2" s="78"/>
      <c r="AI2" s="78"/>
      <c r="AJ2" s="78"/>
      <c r="AK2" s="78"/>
      <c r="AL2" s="78"/>
      <c r="AM2" s="78"/>
      <c r="AN2" s="78"/>
    </row>
    <row r="3" spans="1:48" s="80" customFormat="1" ht="20.25" x14ac:dyDescent="0.3">
      <c r="A3" s="78"/>
      <c r="B3" s="78"/>
      <c r="C3" s="78"/>
      <c r="D3" s="78"/>
      <c r="E3" s="78"/>
      <c r="F3" s="78"/>
      <c r="G3" s="540"/>
      <c r="H3" s="540"/>
      <c r="I3" s="540"/>
      <c r="J3" s="540"/>
      <c r="K3" s="540"/>
      <c r="L3" s="540"/>
      <c r="M3" s="540"/>
      <c r="N3" s="318"/>
      <c r="O3" s="318"/>
      <c r="P3" s="318"/>
      <c r="Q3" s="31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H3" s="78"/>
      <c r="AI3" s="78"/>
      <c r="AJ3" s="78"/>
      <c r="AK3" s="78"/>
      <c r="AL3" s="78"/>
      <c r="AM3" s="78"/>
      <c r="AN3" s="78"/>
    </row>
    <row r="4" spans="1:48" ht="18" x14ac:dyDescent="0.25">
      <c r="B4" s="1604" t="s">
        <v>638</v>
      </c>
      <c r="C4" s="1604"/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701"/>
      <c r="AG4" s="701"/>
    </row>
    <row r="5" spans="1:48" ht="15.75" x14ac:dyDescent="0.25">
      <c r="C5" s="320"/>
      <c r="D5" s="321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702"/>
      <c r="AG5" s="702"/>
    </row>
    <row r="6" spans="1:48" x14ac:dyDescent="0.25">
      <c r="A6" s="322" t="s">
        <v>661</v>
      </c>
    </row>
    <row r="7" spans="1:48" x14ac:dyDescent="0.25">
      <c r="B7" s="323"/>
      <c r="Q7" s="324" t="s">
        <v>127</v>
      </c>
      <c r="AH7"/>
      <c r="AI7"/>
      <c r="AJ7"/>
      <c r="AK7"/>
      <c r="AL7"/>
      <c r="AM7"/>
      <c r="AN7" s="542"/>
      <c r="AO7"/>
      <c r="AP7"/>
      <c r="AQ7"/>
      <c r="AR7"/>
      <c r="AS7"/>
      <c r="AT7"/>
      <c r="AU7"/>
      <c r="AV7"/>
    </row>
    <row r="8" spans="1:48" s="346" customFormat="1" ht="32.450000000000003" customHeight="1" x14ac:dyDescent="0.2">
      <c r="A8" s="1224" t="s">
        <v>2</v>
      </c>
      <c r="B8" s="1602" t="s">
        <v>3</v>
      </c>
      <c r="C8" s="1615" t="s">
        <v>435</v>
      </c>
      <c r="D8" s="1615"/>
      <c r="E8" s="1615"/>
      <c r="F8" s="1615"/>
      <c r="G8" s="1615" t="s">
        <v>436</v>
      </c>
      <c r="H8" s="1615"/>
      <c r="I8" s="1615"/>
      <c r="J8" s="1615"/>
      <c r="K8" s="1615" t="s">
        <v>437</v>
      </c>
      <c r="L8" s="1615"/>
      <c r="M8" s="1615"/>
      <c r="N8" s="1615"/>
      <c r="O8" s="1615" t="s">
        <v>438</v>
      </c>
      <c r="P8" s="1615"/>
      <c r="Q8" s="1615"/>
      <c r="R8" s="1615"/>
      <c r="S8" s="1615" t="s">
        <v>672</v>
      </c>
      <c r="T8" s="1615"/>
      <c r="U8" s="1615"/>
      <c r="V8" s="1615"/>
      <c r="W8" s="1615" t="s">
        <v>673</v>
      </c>
      <c r="X8" s="1615"/>
      <c r="Y8" s="1615"/>
      <c r="Z8" s="1615"/>
      <c r="AA8" s="1615" t="s">
        <v>674</v>
      </c>
      <c r="AB8" s="1615"/>
      <c r="AC8" s="1615"/>
      <c r="AD8" s="1615"/>
      <c r="AE8" s="1615" t="s">
        <v>675</v>
      </c>
      <c r="AF8" s="697"/>
      <c r="AG8" s="697"/>
      <c r="AH8"/>
      <c r="AI8" t="s">
        <v>727</v>
      </c>
      <c r="AJ8"/>
      <c r="AK8" t="s">
        <v>726</v>
      </c>
      <c r="AL8"/>
      <c r="AM8"/>
      <c r="AN8" s="542"/>
      <c r="AO8"/>
      <c r="AP8"/>
      <c r="AQ8"/>
      <c r="AR8"/>
      <c r="AS8"/>
      <c r="AT8"/>
      <c r="AU8"/>
      <c r="AV8"/>
    </row>
    <row r="9" spans="1:48" s="346" customFormat="1" ht="86.25" customHeight="1" x14ac:dyDescent="0.2">
      <c r="A9" s="1224"/>
      <c r="B9" s="1602"/>
      <c r="C9" s="326" t="s">
        <v>147</v>
      </c>
      <c r="D9" s="326" t="s">
        <v>149</v>
      </c>
      <c r="E9" s="326" t="s">
        <v>126</v>
      </c>
      <c r="F9" s="326" t="s">
        <v>148</v>
      </c>
      <c r="G9" s="326" t="s">
        <v>228</v>
      </c>
      <c r="H9" s="326" t="s">
        <v>149</v>
      </c>
      <c r="I9" s="326" t="s">
        <v>126</v>
      </c>
      <c r="J9" s="326" t="s">
        <v>148</v>
      </c>
      <c r="K9" s="326" t="s">
        <v>228</v>
      </c>
      <c r="L9" s="326" t="s">
        <v>149</v>
      </c>
      <c r="M9" s="326" t="s">
        <v>126</v>
      </c>
      <c r="N9" s="326" t="s">
        <v>148</v>
      </c>
      <c r="O9" s="326" t="s">
        <v>228</v>
      </c>
      <c r="P9" s="326" t="s">
        <v>149</v>
      </c>
      <c r="Q9" s="326" t="s">
        <v>126</v>
      </c>
      <c r="R9" s="326" t="s">
        <v>148</v>
      </c>
      <c r="S9" s="326" t="s">
        <v>147</v>
      </c>
      <c r="T9" s="326" t="s">
        <v>149</v>
      </c>
      <c r="U9" s="326" t="s">
        <v>126</v>
      </c>
      <c r="V9" s="326" t="s">
        <v>148</v>
      </c>
      <c r="W9" s="326" t="s">
        <v>147</v>
      </c>
      <c r="X9" s="326" t="s">
        <v>149</v>
      </c>
      <c r="Y9" s="326" t="s">
        <v>126</v>
      </c>
      <c r="Z9" s="326" t="s">
        <v>148</v>
      </c>
      <c r="AA9" s="326" t="s">
        <v>147</v>
      </c>
      <c r="AB9" s="326" t="s">
        <v>149</v>
      </c>
      <c r="AC9" s="326" t="s">
        <v>126</v>
      </c>
      <c r="AD9" s="326" t="s">
        <v>148</v>
      </c>
      <c r="AE9" s="1615"/>
      <c r="AF9" s="697"/>
      <c r="AG9" s="697"/>
      <c r="AH9" s="5"/>
      <c r="AI9" s="5" t="s">
        <v>716</v>
      </c>
      <c r="AJ9" s="5" t="s">
        <v>725</v>
      </c>
      <c r="AK9" s="5" t="s">
        <v>724</v>
      </c>
      <c r="AL9" s="1618" t="s">
        <v>722</v>
      </c>
      <c r="AM9" s="1618"/>
      <c r="AN9" s="1617" t="s">
        <v>721</v>
      </c>
      <c r="AO9" s="1617" t="s">
        <v>720</v>
      </c>
      <c r="AP9" s="1617" t="s">
        <v>719</v>
      </c>
      <c r="AQ9" s="1617" t="s">
        <v>718</v>
      </c>
      <c r="AR9" s="1617" t="s">
        <v>717</v>
      </c>
      <c r="AS9"/>
      <c r="AT9"/>
      <c r="AU9"/>
      <c r="AV9"/>
    </row>
    <row r="10" spans="1:48" s="347" customFormat="1" ht="18" customHeight="1" x14ac:dyDescent="0.2">
      <c r="A10" s="327">
        <v>1</v>
      </c>
      <c r="B10" s="328">
        <v>2</v>
      </c>
      <c r="C10" s="329">
        <v>3</v>
      </c>
      <c r="D10" s="329">
        <v>4</v>
      </c>
      <c r="E10" s="329">
        <v>5</v>
      </c>
      <c r="F10" s="329">
        <v>6</v>
      </c>
      <c r="G10" s="329">
        <v>7</v>
      </c>
      <c r="H10" s="329">
        <v>8</v>
      </c>
      <c r="I10" s="329">
        <v>9</v>
      </c>
      <c r="J10" s="329">
        <v>10</v>
      </c>
      <c r="K10" s="329">
        <v>11</v>
      </c>
      <c r="L10" s="329">
        <v>12</v>
      </c>
      <c r="M10" s="329">
        <v>13</v>
      </c>
      <c r="N10" s="329">
        <v>14</v>
      </c>
      <c r="O10" s="329">
        <v>15</v>
      </c>
      <c r="P10" s="329">
        <v>16</v>
      </c>
      <c r="Q10" s="329">
        <v>17</v>
      </c>
      <c r="R10" s="329">
        <v>18</v>
      </c>
      <c r="S10" s="329">
        <v>19</v>
      </c>
      <c r="T10" s="329">
        <v>20</v>
      </c>
      <c r="U10" s="329">
        <v>21</v>
      </c>
      <c r="V10" s="329">
        <v>22</v>
      </c>
      <c r="W10" s="329">
        <v>23</v>
      </c>
      <c r="X10" s="329">
        <v>24</v>
      </c>
      <c r="Y10" s="329">
        <v>25</v>
      </c>
      <c r="Z10" s="329">
        <v>26</v>
      </c>
      <c r="AA10" s="329">
        <v>27</v>
      </c>
      <c r="AB10" s="329">
        <v>28</v>
      </c>
      <c r="AC10" s="329">
        <v>29</v>
      </c>
      <c r="AD10" s="329">
        <v>30</v>
      </c>
      <c r="AE10" s="329">
        <v>31</v>
      </c>
      <c r="AF10" s="698"/>
      <c r="AG10" s="698"/>
      <c r="AH10" s="5"/>
      <c r="AI10" s="5" t="s">
        <v>723</v>
      </c>
      <c r="AJ10" s="5"/>
      <c r="AK10" s="5"/>
      <c r="AL10" s="1618"/>
      <c r="AM10" s="1618"/>
      <c r="AN10" s="1617"/>
      <c r="AO10" s="1617"/>
      <c r="AP10" s="1617"/>
      <c r="AQ10" s="1617"/>
      <c r="AR10" s="1617"/>
      <c r="AS10"/>
      <c r="AT10"/>
      <c r="AU10"/>
      <c r="AV10"/>
    </row>
    <row r="11" spans="1:48" s="348" customFormat="1" ht="25.5" customHeight="1" x14ac:dyDescent="0.25">
      <c r="A11" s="194">
        <v>1</v>
      </c>
      <c r="B11" s="131" t="s">
        <v>647</v>
      </c>
      <c r="C11" s="344">
        <v>1938</v>
      </c>
      <c r="D11" s="344">
        <v>591</v>
      </c>
      <c r="E11" s="345">
        <v>3</v>
      </c>
      <c r="F11" s="345">
        <f>D11*E11</f>
        <v>1773</v>
      </c>
      <c r="G11" s="344">
        <v>146</v>
      </c>
      <c r="H11" s="344">
        <v>146</v>
      </c>
      <c r="I11" s="344">
        <v>3.5</v>
      </c>
      <c r="J11" s="344">
        <f>H11*I11</f>
        <v>511</v>
      </c>
      <c r="K11" s="344">
        <v>18</v>
      </c>
      <c r="L11" s="344">
        <v>18</v>
      </c>
      <c r="M11" s="344">
        <v>4</v>
      </c>
      <c r="N11" s="344">
        <f>L11*M11</f>
        <v>72</v>
      </c>
      <c r="O11" s="344">
        <v>4</v>
      </c>
      <c r="P11" s="344">
        <v>4</v>
      </c>
      <c r="Q11" s="344">
        <v>4.5</v>
      </c>
      <c r="R11" s="344">
        <f>P11*Q11</f>
        <v>18</v>
      </c>
      <c r="S11" s="734">
        <v>3</v>
      </c>
      <c r="T11" s="344">
        <v>3</v>
      </c>
      <c r="U11" s="344">
        <v>5</v>
      </c>
      <c r="V11" s="344">
        <f>T11*U11</f>
        <v>15</v>
      </c>
      <c r="W11" s="344"/>
      <c r="X11" s="344"/>
      <c r="Y11" s="344">
        <v>5.5</v>
      </c>
      <c r="Z11" s="344">
        <v>0</v>
      </c>
      <c r="AA11" s="344"/>
      <c r="AB11" s="344"/>
      <c r="AC11" s="344">
        <v>6</v>
      </c>
      <c r="AD11" s="344">
        <f>AB11*AC11</f>
        <v>0</v>
      </c>
      <c r="AE11" s="345">
        <f>F11+J11+N11+R11+V11+Z11+AD11</f>
        <v>2389</v>
      </c>
      <c r="AF11" s="699"/>
      <c r="AG11" s="699"/>
      <c r="AH11" s="131" t="s">
        <v>647</v>
      </c>
      <c r="AI11" s="5">
        <v>2243</v>
      </c>
      <c r="AJ11" s="5">
        <v>559</v>
      </c>
      <c r="AK11" s="5">
        <v>378</v>
      </c>
      <c r="AL11" s="5">
        <f t="shared" ref="AL11:AL24" si="0">AI11+AJ11+AK11</f>
        <v>3180</v>
      </c>
      <c r="AM11" s="5"/>
      <c r="AN11" s="704">
        <v>931</v>
      </c>
      <c r="AO11" s="5">
        <v>752</v>
      </c>
      <c r="AP11" s="5">
        <f t="shared" ref="AP11:AP24" si="1">AL11-AN11-AO11</f>
        <v>1497</v>
      </c>
      <c r="AQ11" s="5">
        <f>AB11+T11+P11+L11+H11</f>
        <v>171</v>
      </c>
      <c r="AR11" s="5">
        <v>591</v>
      </c>
      <c r="AS11">
        <f>AN11+AO11+AQ11+AR11</f>
        <v>2445</v>
      </c>
      <c r="AT11" s="564"/>
      <c r="AU11">
        <f>AN11+AO11</f>
        <v>1683</v>
      </c>
      <c r="AV11"/>
    </row>
    <row r="12" spans="1:48" s="348" customFormat="1" ht="25.5" customHeight="1" x14ac:dyDescent="0.25">
      <c r="A12" s="194">
        <v>2</v>
      </c>
      <c r="B12" s="131" t="s">
        <v>648</v>
      </c>
      <c r="C12" s="344">
        <v>1077</v>
      </c>
      <c r="D12" s="344">
        <v>610</v>
      </c>
      <c r="E12" s="345">
        <v>3</v>
      </c>
      <c r="F12" s="345">
        <f t="shared" ref="F12:F23" si="2">D12*E12</f>
        <v>1830</v>
      </c>
      <c r="G12" s="344">
        <v>0</v>
      </c>
      <c r="H12" s="344">
        <v>0</v>
      </c>
      <c r="I12" s="344">
        <v>3.5</v>
      </c>
      <c r="J12" s="344">
        <f t="shared" ref="J12:J23" si="3">H12*I12</f>
        <v>0</v>
      </c>
      <c r="K12" s="344">
        <v>0</v>
      </c>
      <c r="L12" s="344">
        <v>0</v>
      </c>
      <c r="M12" s="344">
        <v>4</v>
      </c>
      <c r="N12" s="344">
        <f t="shared" ref="N12:N23" si="4">L12*M12</f>
        <v>0</v>
      </c>
      <c r="O12" s="344">
        <v>0</v>
      </c>
      <c r="P12" s="344">
        <v>0</v>
      </c>
      <c r="Q12" s="344">
        <v>4.5</v>
      </c>
      <c r="R12" s="344">
        <f t="shared" ref="R12:R24" si="5">P12*Q12</f>
        <v>0</v>
      </c>
      <c r="S12" s="734">
        <v>2193</v>
      </c>
      <c r="T12" s="344"/>
      <c r="U12" s="344">
        <v>5</v>
      </c>
      <c r="V12" s="344">
        <f t="shared" ref="V12:V24" si="6">T12*U12</f>
        <v>0</v>
      </c>
      <c r="W12" s="344"/>
      <c r="X12" s="344"/>
      <c r="Y12" s="344">
        <v>5.5</v>
      </c>
      <c r="Z12" s="344">
        <f t="shared" ref="Z12:Z23" si="7">X12*Y12</f>
        <v>0</v>
      </c>
      <c r="AA12" s="344"/>
      <c r="AB12" s="344"/>
      <c r="AC12" s="344">
        <v>6</v>
      </c>
      <c r="AD12" s="344">
        <f t="shared" ref="AD12:AD23" si="8">AB12*AC12</f>
        <v>0</v>
      </c>
      <c r="AE12" s="345">
        <f t="shared" ref="AE12:AE23" si="9">F12+J12+N12+R12+V12+Z12+AD12</f>
        <v>1830</v>
      </c>
      <c r="AF12" s="699"/>
      <c r="AG12" s="699"/>
      <c r="AH12" s="131" t="s">
        <v>648</v>
      </c>
      <c r="AI12" s="5">
        <v>2131</v>
      </c>
      <c r="AJ12" s="5">
        <v>231</v>
      </c>
      <c r="AK12" s="5">
        <v>268</v>
      </c>
      <c r="AL12" s="5">
        <f t="shared" si="0"/>
        <v>2630</v>
      </c>
      <c r="AM12" s="5"/>
      <c r="AN12" s="704">
        <v>709</v>
      </c>
      <c r="AO12" s="5">
        <v>211</v>
      </c>
      <c r="AP12" s="5">
        <f t="shared" si="1"/>
        <v>1710</v>
      </c>
      <c r="AQ12" s="5">
        <f t="shared" ref="AQ12:AQ23" si="10">AB12+T12+P12+L12+H12</f>
        <v>0</v>
      </c>
      <c r="AR12" s="5">
        <v>610</v>
      </c>
      <c r="AS12">
        <f t="shared" ref="AS12:AS24" si="11">AN12+AO12+AQ12+AR12</f>
        <v>1530</v>
      </c>
      <c r="AT12" s="564"/>
      <c r="AU12">
        <f t="shared" ref="AU12:AU23" si="12">AN12+AO12</f>
        <v>920</v>
      </c>
      <c r="AV12"/>
    </row>
    <row r="13" spans="1:48" s="348" customFormat="1" ht="25.5" customHeight="1" x14ac:dyDescent="0.25">
      <c r="A13" s="194">
        <v>3</v>
      </c>
      <c r="B13" s="131" t="s">
        <v>649</v>
      </c>
      <c r="C13" s="344">
        <v>1720</v>
      </c>
      <c r="D13" s="344">
        <v>758</v>
      </c>
      <c r="E13" s="345">
        <v>3</v>
      </c>
      <c r="F13" s="345">
        <f t="shared" si="2"/>
        <v>2274</v>
      </c>
      <c r="G13" s="344">
        <v>0</v>
      </c>
      <c r="H13" s="344">
        <v>0</v>
      </c>
      <c r="I13" s="344">
        <v>3.5</v>
      </c>
      <c r="J13" s="344">
        <f t="shared" si="3"/>
        <v>0</v>
      </c>
      <c r="K13" s="344">
        <v>0</v>
      </c>
      <c r="L13" s="344">
        <v>0</v>
      </c>
      <c r="M13" s="344">
        <v>4</v>
      </c>
      <c r="N13" s="344">
        <f>L13*M13</f>
        <v>0</v>
      </c>
      <c r="O13" s="344">
        <v>0</v>
      </c>
      <c r="P13" s="344">
        <v>0</v>
      </c>
      <c r="Q13" s="344">
        <v>4.5</v>
      </c>
      <c r="R13" s="344">
        <f t="shared" si="5"/>
        <v>0</v>
      </c>
      <c r="S13" s="734">
        <v>5160</v>
      </c>
      <c r="T13" s="344"/>
      <c r="U13" s="344">
        <v>5</v>
      </c>
      <c r="V13" s="344">
        <f t="shared" si="6"/>
        <v>0</v>
      </c>
      <c r="W13" s="344"/>
      <c r="X13" s="344"/>
      <c r="Y13" s="344">
        <v>5.5</v>
      </c>
      <c r="Z13" s="344">
        <f t="shared" si="7"/>
        <v>0</v>
      </c>
      <c r="AA13" s="344"/>
      <c r="AB13" s="344"/>
      <c r="AC13" s="344">
        <v>6</v>
      </c>
      <c r="AD13" s="344">
        <f t="shared" si="8"/>
        <v>0</v>
      </c>
      <c r="AE13" s="345">
        <f t="shared" si="9"/>
        <v>2274</v>
      </c>
      <c r="AF13" s="699"/>
      <c r="AG13" s="699"/>
      <c r="AH13" s="131" t="s">
        <v>649</v>
      </c>
      <c r="AI13" s="5">
        <v>3154</v>
      </c>
      <c r="AJ13" s="5">
        <v>348</v>
      </c>
      <c r="AK13" s="5">
        <v>303</v>
      </c>
      <c r="AL13" s="5">
        <f t="shared" si="0"/>
        <v>3805</v>
      </c>
      <c r="AM13" s="5"/>
      <c r="AN13" s="704">
        <v>868</v>
      </c>
      <c r="AO13" s="5">
        <v>1633</v>
      </c>
      <c r="AP13" s="5">
        <f t="shared" si="1"/>
        <v>1304</v>
      </c>
      <c r="AQ13" s="5">
        <f t="shared" si="10"/>
        <v>0</v>
      </c>
      <c r="AR13" s="5">
        <v>758</v>
      </c>
      <c r="AS13">
        <f t="shared" si="11"/>
        <v>3259</v>
      </c>
      <c r="AT13" s="564"/>
      <c r="AU13">
        <f t="shared" si="12"/>
        <v>2501</v>
      </c>
      <c r="AV13"/>
    </row>
    <row r="14" spans="1:48" s="348" customFormat="1" ht="25.5" customHeight="1" x14ac:dyDescent="0.25">
      <c r="A14" s="194">
        <v>4</v>
      </c>
      <c r="B14" s="131" t="s">
        <v>650</v>
      </c>
      <c r="C14" s="344">
        <v>1280</v>
      </c>
      <c r="D14" s="344">
        <v>192</v>
      </c>
      <c r="E14" s="345">
        <v>3</v>
      </c>
      <c r="F14" s="345">
        <f t="shared" si="2"/>
        <v>576</v>
      </c>
      <c r="G14" s="344">
        <v>435</v>
      </c>
      <c r="H14" s="344">
        <v>435</v>
      </c>
      <c r="I14" s="344">
        <v>3.5</v>
      </c>
      <c r="J14" s="344">
        <f t="shared" si="3"/>
        <v>1522.5</v>
      </c>
      <c r="K14" s="344">
        <v>76</v>
      </c>
      <c r="L14" s="344">
        <v>76</v>
      </c>
      <c r="M14" s="344">
        <v>4</v>
      </c>
      <c r="N14" s="344">
        <f t="shared" si="4"/>
        <v>304</v>
      </c>
      <c r="O14" s="344">
        <v>198</v>
      </c>
      <c r="P14" s="344">
        <v>198</v>
      </c>
      <c r="Q14" s="344">
        <v>4.5</v>
      </c>
      <c r="R14" s="344">
        <f t="shared" si="5"/>
        <v>891</v>
      </c>
      <c r="S14" s="734"/>
      <c r="T14" s="344"/>
      <c r="U14" s="344">
        <v>5</v>
      </c>
      <c r="V14" s="344">
        <f t="shared" si="6"/>
        <v>0</v>
      </c>
      <c r="W14" s="344"/>
      <c r="X14" s="344"/>
      <c r="Y14" s="344">
        <v>5.5</v>
      </c>
      <c r="Z14" s="344">
        <f t="shared" si="7"/>
        <v>0</v>
      </c>
      <c r="AA14" s="344"/>
      <c r="AB14" s="344"/>
      <c r="AC14" s="344">
        <v>6</v>
      </c>
      <c r="AD14" s="344">
        <f t="shared" si="8"/>
        <v>0</v>
      </c>
      <c r="AE14" s="345">
        <f t="shared" si="9"/>
        <v>3293.5</v>
      </c>
      <c r="AF14" s="699"/>
      <c r="AG14" s="699"/>
      <c r="AH14" s="131" t="s">
        <v>650</v>
      </c>
      <c r="AI14" s="5">
        <v>3251</v>
      </c>
      <c r="AJ14" s="5">
        <v>373</v>
      </c>
      <c r="AK14" s="5">
        <v>543</v>
      </c>
      <c r="AL14" s="5">
        <f t="shared" si="0"/>
        <v>4167</v>
      </c>
      <c r="AM14" s="5"/>
      <c r="AN14" s="704">
        <v>1451</v>
      </c>
      <c r="AO14" s="5">
        <v>465</v>
      </c>
      <c r="AP14" s="5">
        <f t="shared" si="1"/>
        <v>2251</v>
      </c>
      <c r="AQ14" s="5">
        <f t="shared" si="10"/>
        <v>709</v>
      </c>
      <c r="AR14" s="5">
        <v>192</v>
      </c>
      <c r="AS14">
        <f t="shared" si="11"/>
        <v>2817</v>
      </c>
      <c r="AT14" s="564"/>
      <c r="AU14">
        <f t="shared" si="12"/>
        <v>1916</v>
      </c>
      <c r="AV14"/>
    </row>
    <row r="15" spans="1:48" s="348" customFormat="1" ht="25.5" customHeight="1" x14ac:dyDescent="0.25">
      <c r="A15" s="194">
        <v>5</v>
      </c>
      <c r="B15" s="131" t="s">
        <v>651</v>
      </c>
      <c r="C15" s="344">
        <v>1518</v>
      </c>
      <c r="D15" s="344">
        <v>228</v>
      </c>
      <c r="E15" s="345">
        <v>3</v>
      </c>
      <c r="F15" s="345">
        <f t="shared" si="2"/>
        <v>684</v>
      </c>
      <c r="G15" s="344">
        <v>130</v>
      </c>
      <c r="H15" s="344">
        <v>130</v>
      </c>
      <c r="I15" s="344">
        <v>3.5</v>
      </c>
      <c r="J15" s="344">
        <f t="shared" si="3"/>
        <v>455</v>
      </c>
      <c r="K15" s="344">
        <v>36</v>
      </c>
      <c r="L15" s="344">
        <v>36</v>
      </c>
      <c r="M15" s="344">
        <v>4</v>
      </c>
      <c r="N15" s="344">
        <f t="shared" si="4"/>
        <v>144</v>
      </c>
      <c r="O15" s="344">
        <v>29</v>
      </c>
      <c r="P15" s="344">
        <v>29</v>
      </c>
      <c r="Q15" s="344">
        <v>4.5</v>
      </c>
      <c r="R15" s="344">
        <f t="shared" si="5"/>
        <v>130.5</v>
      </c>
      <c r="S15" s="734">
        <v>16</v>
      </c>
      <c r="T15" s="344">
        <v>16</v>
      </c>
      <c r="U15" s="344">
        <v>5</v>
      </c>
      <c r="V15" s="344">
        <f t="shared" si="6"/>
        <v>80</v>
      </c>
      <c r="W15" s="344">
        <v>5</v>
      </c>
      <c r="X15" s="569">
        <v>5</v>
      </c>
      <c r="Y15" s="344">
        <v>5.5</v>
      </c>
      <c r="Z15" s="344">
        <f t="shared" si="7"/>
        <v>27.5</v>
      </c>
      <c r="AA15" s="569">
        <v>2</v>
      </c>
      <c r="AB15" s="569">
        <v>2</v>
      </c>
      <c r="AC15" s="344">
        <v>6</v>
      </c>
      <c r="AD15" s="344">
        <f t="shared" si="8"/>
        <v>12</v>
      </c>
      <c r="AE15" s="345">
        <f t="shared" si="9"/>
        <v>1533</v>
      </c>
      <c r="AF15" s="699"/>
      <c r="AG15" s="699"/>
      <c r="AH15" s="131" t="s">
        <v>651</v>
      </c>
      <c r="AI15" s="5">
        <v>2294</v>
      </c>
      <c r="AJ15" s="5">
        <v>265</v>
      </c>
      <c r="AK15" s="5">
        <v>406</v>
      </c>
      <c r="AL15" s="5">
        <f t="shared" si="0"/>
        <v>2965</v>
      </c>
      <c r="AM15" s="5"/>
      <c r="AN15" s="704">
        <v>1043</v>
      </c>
      <c r="AO15" s="5">
        <v>754</v>
      </c>
      <c r="AP15" s="5">
        <f t="shared" si="1"/>
        <v>1168</v>
      </c>
      <c r="AQ15" s="5">
        <f t="shared" si="10"/>
        <v>213</v>
      </c>
      <c r="AR15" s="5">
        <v>228</v>
      </c>
      <c r="AS15">
        <f t="shared" si="11"/>
        <v>2238</v>
      </c>
      <c r="AT15" s="564"/>
      <c r="AU15">
        <f t="shared" si="12"/>
        <v>1797</v>
      </c>
      <c r="AV15"/>
    </row>
    <row r="16" spans="1:48" s="348" customFormat="1" ht="25.5" customHeight="1" x14ac:dyDescent="0.25">
      <c r="A16" s="194">
        <v>6</v>
      </c>
      <c r="B16" s="131" t="s">
        <v>652</v>
      </c>
      <c r="C16" s="344">
        <v>1514</v>
      </c>
      <c r="D16" s="344">
        <v>227</v>
      </c>
      <c r="E16" s="345">
        <v>3</v>
      </c>
      <c r="F16" s="345">
        <f t="shared" si="2"/>
        <v>681</v>
      </c>
      <c r="G16" s="344">
        <v>171</v>
      </c>
      <c r="H16" s="344">
        <v>171</v>
      </c>
      <c r="I16" s="344">
        <v>3.5</v>
      </c>
      <c r="J16" s="344">
        <f t="shared" si="3"/>
        <v>598.5</v>
      </c>
      <c r="K16" s="344">
        <v>35</v>
      </c>
      <c r="L16" s="344">
        <v>35</v>
      </c>
      <c r="M16" s="344">
        <v>4</v>
      </c>
      <c r="N16" s="344">
        <f t="shared" si="4"/>
        <v>140</v>
      </c>
      <c r="O16" s="344">
        <v>16</v>
      </c>
      <c r="P16" s="344">
        <v>16</v>
      </c>
      <c r="Q16" s="344">
        <v>4.5</v>
      </c>
      <c r="R16" s="344">
        <f t="shared" si="5"/>
        <v>72</v>
      </c>
      <c r="S16" s="734">
        <v>8</v>
      </c>
      <c r="T16" s="344">
        <v>8</v>
      </c>
      <c r="U16" s="344">
        <v>5</v>
      </c>
      <c r="V16" s="344">
        <f t="shared" si="6"/>
        <v>40</v>
      </c>
      <c r="W16" s="344">
        <v>8</v>
      </c>
      <c r="X16" s="569">
        <v>8</v>
      </c>
      <c r="Y16" s="344">
        <v>5.5</v>
      </c>
      <c r="Z16" s="344">
        <f t="shared" si="7"/>
        <v>44</v>
      </c>
      <c r="AA16" s="569">
        <v>3</v>
      </c>
      <c r="AB16" s="569">
        <v>3</v>
      </c>
      <c r="AC16" s="344">
        <v>6</v>
      </c>
      <c r="AD16" s="344">
        <f t="shared" si="8"/>
        <v>18</v>
      </c>
      <c r="AE16" s="345">
        <f t="shared" si="9"/>
        <v>1593.5</v>
      </c>
      <c r="AF16" s="699"/>
      <c r="AG16" s="699"/>
      <c r="AH16" s="131" t="s">
        <v>652</v>
      </c>
      <c r="AI16" s="5">
        <v>1839</v>
      </c>
      <c r="AJ16" s="5">
        <v>369</v>
      </c>
      <c r="AK16" s="5">
        <v>414</v>
      </c>
      <c r="AL16" s="5">
        <f t="shared" si="0"/>
        <v>2622</v>
      </c>
      <c r="AM16" s="5"/>
      <c r="AN16" s="704">
        <v>841</v>
      </c>
      <c r="AO16" s="5">
        <v>395</v>
      </c>
      <c r="AP16" s="5">
        <f t="shared" si="1"/>
        <v>1386</v>
      </c>
      <c r="AQ16" s="5">
        <f t="shared" si="10"/>
        <v>233</v>
      </c>
      <c r="AR16" s="5">
        <v>227</v>
      </c>
      <c r="AS16">
        <f t="shared" si="11"/>
        <v>1696</v>
      </c>
      <c r="AT16" s="564"/>
      <c r="AU16">
        <f t="shared" si="12"/>
        <v>1236</v>
      </c>
      <c r="AV16"/>
    </row>
    <row r="17" spans="1:48" s="348" customFormat="1" ht="25.5" customHeight="1" x14ac:dyDescent="0.25">
      <c r="A17" s="194">
        <v>7</v>
      </c>
      <c r="B17" s="131" t="s">
        <v>653</v>
      </c>
      <c r="C17" s="344">
        <v>1096</v>
      </c>
      <c r="D17" s="344">
        <v>164</v>
      </c>
      <c r="E17" s="345">
        <v>3</v>
      </c>
      <c r="F17" s="345">
        <f t="shared" si="2"/>
        <v>492</v>
      </c>
      <c r="G17" s="344">
        <v>265</v>
      </c>
      <c r="H17" s="344">
        <v>265</v>
      </c>
      <c r="I17" s="344">
        <v>3.5</v>
      </c>
      <c r="J17" s="344">
        <f t="shared" si="3"/>
        <v>927.5</v>
      </c>
      <c r="K17" s="344">
        <v>156</v>
      </c>
      <c r="L17" s="344">
        <v>156</v>
      </c>
      <c r="M17" s="344">
        <v>4</v>
      </c>
      <c r="N17" s="344">
        <f t="shared" si="4"/>
        <v>624</v>
      </c>
      <c r="O17" s="344">
        <v>205</v>
      </c>
      <c r="P17" s="344">
        <v>205</v>
      </c>
      <c r="Q17" s="344">
        <v>4.5</v>
      </c>
      <c r="R17" s="344">
        <f>P17*Q17</f>
        <v>922.5</v>
      </c>
      <c r="S17" s="734">
        <v>5881.2</v>
      </c>
      <c r="T17" s="344"/>
      <c r="U17" s="344">
        <v>5</v>
      </c>
      <c r="V17" s="344">
        <f t="shared" si="6"/>
        <v>0</v>
      </c>
      <c r="W17" s="344"/>
      <c r="X17" s="344"/>
      <c r="Y17" s="344">
        <v>5.5</v>
      </c>
      <c r="Z17" s="344">
        <f t="shared" si="7"/>
        <v>0</v>
      </c>
      <c r="AA17" s="344"/>
      <c r="AB17" s="344"/>
      <c r="AC17" s="344">
        <v>6</v>
      </c>
      <c r="AD17" s="344">
        <f t="shared" si="8"/>
        <v>0</v>
      </c>
      <c r="AE17" s="345">
        <f t="shared" si="9"/>
        <v>2966</v>
      </c>
      <c r="AF17" s="699"/>
      <c r="AG17" s="699"/>
      <c r="AH17" s="131" t="s">
        <v>653</v>
      </c>
      <c r="AI17" s="5">
        <v>2485</v>
      </c>
      <c r="AJ17" s="5">
        <v>357</v>
      </c>
      <c r="AK17" s="5">
        <v>356</v>
      </c>
      <c r="AL17" s="5">
        <f t="shared" si="0"/>
        <v>3198</v>
      </c>
      <c r="AM17" s="5"/>
      <c r="AN17" s="704">
        <v>1076</v>
      </c>
      <c r="AO17" s="5">
        <v>805</v>
      </c>
      <c r="AP17" s="5">
        <f t="shared" si="1"/>
        <v>1317</v>
      </c>
      <c r="AQ17" s="5">
        <f t="shared" si="10"/>
        <v>626</v>
      </c>
      <c r="AR17" s="5">
        <v>164</v>
      </c>
      <c r="AS17">
        <f t="shared" si="11"/>
        <v>2671</v>
      </c>
      <c r="AT17" s="564"/>
      <c r="AU17">
        <f t="shared" si="12"/>
        <v>1881</v>
      </c>
      <c r="AV17"/>
    </row>
    <row r="18" spans="1:48" ht="25.5" customHeight="1" x14ac:dyDescent="0.25">
      <c r="A18" s="194">
        <v>8</v>
      </c>
      <c r="B18" s="131" t="s">
        <v>654</v>
      </c>
      <c r="C18" s="342">
        <v>866</v>
      </c>
      <c r="D18" s="342">
        <v>130</v>
      </c>
      <c r="E18" s="345">
        <v>3</v>
      </c>
      <c r="F18" s="345">
        <f t="shared" si="2"/>
        <v>390</v>
      </c>
      <c r="G18" s="342">
        <v>382</v>
      </c>
      <c r="H18" s="342">
        <v>382</v>
      </c>
      <c r="I18" s="344">
        <v>3.5</v>
      </c>
      <c r="J18" s="344">
        <f t="shared" si="3"/>
        <v>1337</v>
      </c>
      <c r="K18" s="342">
        <v>96</v>
      </c>
      <c r="L18" s="342">
        <v>96</v>
      </c>
      <c r="M18" s="344">
        <v>4</v>
      </c>
      <c r="N18" s="344">
        <f t="shared" si="4"/>
        <v>384</v>
      </c>
      <c r="O18" s="342">
        <v>116</v>
      </c>
      <c r="P18" s="342">
        <v>116</v>
      </c>
      <c r="Q18" s="344">
        <v>4.5</v>
      </c>
      <c r="R18" s="344">
        <f t="shared" si="5"/>
        <v>522</v>
      </c>
      <c r="S18" s="733">
        <v>4398.0000000000009</v>
      </c>
      <c r="T18" s="342"/>
      <c r="U18" s="344">
        <v>5</v>
      </c>
      <c r="V18" s="344">
        <f t="shared" si="6"/>
        <v>0</v>
      </c>
      <c r="W18" s="342"/>
      <c r="X18" s="342"/>
      <c r="Y18" s="344">
        <v>5.5</v>
      </c>
      <c r="Z18" s="344">
        <f t="shared" si="7"/>
        <v>0</v>
      </c>
      <c r="AA18" s="342"/>
      <c r="AB18" s="342"/>
      <c r="AC18" s="344">
        <v>6</v>
      </c>
      <c r="AD18" s="344">
        <f t="shared" si="8"/>
        <v>0</v>
      </c>
      <c r="AE18" s="345">
        <f t="shared" si="9"/>
        <v>2633</v>
      </c>
      <c r="AF18" s="699"/>
      <c r="AG18" s="699"/>
      <c r="AH18" s="131" t="s">
        <v>654</v>
      </c>
      <c r="AI18" s="5">
        <v>2382</v>
      </c>
      <c r="AJ18" s="5">
        <v>347</v>
      </c>
      <c r="AK18" s="5">
        <v>341</v>
      </c>
      <c r="AL18" s="5">
        <f t="shared" si="0"/>
        <v>3070</v>
      </c>
      <c r="AM18" s="5"/>
      <c r="AN18" s="704">
        <v>1060</v>
      </c>
      <c r="AO18" s="5">
        <v>735</v>
      </c>
      <c r="AP18" s="5">
        <f t="shared" si="1"/>
        <v>1275</v>
      </c>
      <c r="AQ18" s="5">
        <f t="shared" si="10"/>
        <v>594</v>
      </c>
      <c r="AR18" s="5">
        <v>130</v>
      </c>
      <c r="AS18">
        <f t="shared" si="11"/>
        <v>2519</v>
      </c>
      <c r="AT18" s="564"/>
      <c r="AU18">
        <f t="shared" si="12"/>
        <v>1795</v>
      </c>
      <c r="AV18"/>
    </row>
    <row r="19" spans="1:48" ht="25.5" customHeight="1" x14ac:dyDescent="0.25">
      <c r="A19" s="194">
        <v>9</v>
      </c>
      <c r="B19" s="131" t="s">
        <v>655</v>
      </c>
      <c r="C19" s="342">
        <v>1980</v>
      </c>
      <c r="D19" s="342">
        <v>297</v>
      </c>
      <c r="E19" s="345">
        <v>3</v>
      </c>
      <c r="F19" s="345">
        <f t="shared" si="2"/>
        <v>891</v>
      </c>
      <c r="G19" s="342">
        <v>38</v>
      </c>
      <c r="H19" s="342">
        <v>38</v>
      </c>
      <c r="I19" s="344">
        <v>3.5</v>
      </c>
      <c r="J19" s="344">
        <f t="shared" si="3"/>
        <v>133</v>
      </c>
      <c r="K19" s="342">
        <v>6</v>
      </c>
      <c r="L19" s="342">
        <v>6</v>
      </c>
      <c r="M19" s="344">
        <v>4</v>
      </c>
      <c r="N19" s="344">
        <f t="shared" si="4"/>
        <v>24</v>
      </c>
      <c r="O19" s="342">
        <v>2</v>
      </c>
      <c r="P19" s="342">
        <v>2</v>
      </c>
      <c r="Q19" s="344">
        <v>4.5</v>
      </c>
      <c r="R19" s="344">
        <f t="shared" si="5"/>
        <v>9</v>
      </c>
      <c r="S19" s="733">
        <v>6111.6</v>
      </c>
      <c r="T19" s="342"/>
      <c r="U19" s="344">
        <v>5</v>
      </c>
      <c r="V19" s="344">
        <f t="shared" si="6"/>
        <v>0</v>
      </c>
      <c r="W19" s="342"/>
      <c r="X19" s="342"/>
      <c r="Y19" s="344">
        <v>5.5</v>
      </c>
      <c r="Z19" s="344">
        <f t="shared" si="7"/>
        <v>0</v>
      </c>
      <c r="AA19" s="342"/>
      <c r="AB19" s="342"/>
      <c r="AC19" s="344">
        <v>6</v>
      </c>
      <c r="AD19" s="344">
        <f t="shared" si="8"/>
        <v>0</v>
      </c>
      <c r="AE19" s="345">
        <f t="shared" si="9"/>
        <v>1057</v>
      </c>
      <c r="AF19" s="699"/>
      <c r="AG19" s="699"/>
      <c r="AH19" s="131" t="s">
        <v>655</v>
      </c>
      <c r="AI19" s="5">
        <v>2554</v>
      </c>
      <c r="AJ19" s="5">
        <v>394</v>
      </c>
      <c r="AK19" s="5">
        <v>363</v>
      </c>
      <c r="AL19" s="5">
        <f t="shared" si="0"/>
        <v>3311</v>
      </c>
      <c r="AM19" s="5"/>
      <c r="AN19" s="704">
        <v>664</v>
      </c>
      <c r="AO19" s="5">
        <v>917</v>
      </c>
      <c r="AP19" s="5">
        <f t="shared" si="1"/>
        <v>1730</v>
      </c>
      <c r="AQ19" s="5">
        <f t="shared" si="10"/>
        <v>46</v>
      </c>
      <c r="AR19" s="5">
        <v>297</v>
      </c>
      <c r="AS19">
        <f t="shared" si="11"/>
        <v>1924</v>
      </c>
      <c r="AT19" s="564"/>
      <c r="AU19">
        <f t="shared" si="12"/>
        <v>1581</v>
      </c>
      <c r="AV19"/>
    </row>
    <row r="20" spans="1:48" ht="25.5" customHeight="1" x14ac:dyDescent="0.25">
      <c r="A20" s="194">
        <v>10</v>
      </c>
      <c r="B20" s="131" t="s">
        <v>656</v>
      </c>
      <c r="C20" s="339">
        <v>906</v>
      </c>
      <c r="D20" s="339">
        <v>98</v>
      </c>
      <c r="E20" s="340">
        <v>3</v>
      </c>
      <c r="F20" s="340">
        <f>D20*E20</f>
        <v>294</v>
      </c>
      <c r="G20" s="339">
        <v>18</v>
      </c>
      <c r="H20" s="339">
        <v>18</v>
      </c>
      <c r="I20" s="340">
        <v>3.6</v>
      </c>
      <c r="J20" s="340">
        <f>H20*I20</f>
        <v>64.8</v>
      </c>
      <c r="K20" s="339">
        <v>2</v>
      </c>
      <c r="L20" s="339">
        <v>2</v>
      </c>
      <c r="M20" s="340">
        <v>4.2</v>
      </c>
      <c r="N20" s="340">
        <f>L20*M20</f>
        <v>8.4</v>
      </c>
      <c r="O20" s="339">
        <v>2</v>
      </c>
      <c r="P20" s="339">
        <v>2</v>
      </c>
      <c r="Q20" s="340">
        <v>4.8</v>
      </c>
      <c r="R20" s="340">
        <f>P20*Q20</f>
        <v>9.6</v>
      </c>
      <c r="S20" s="735">
        <v>2</v>
      </c>
      <c r="T20" s="339">
        <v>2</v>
      </c>
      <c r="U20" s="340">
        <v>5.7</v>
      </c>
      <c r="V20" s="340">
        <f>T20*U20</f>
        <v>11.4</v>
      </c>
      <c r="W20" s="341"/>
      <c r="X20" s="342"/>
      <c r="Y20" s="344">
        <v>5.5</v>
      </c>
      <c r="Z20" s="344">
        <f t="shared" si="7"/>
        <v>0</v>
      </c>
      <c r="AA20" s="342"/>
      <c r="AB20" s="342"/>
      <c r="AC20" s="344">
        <v>6</v>
      </c>
      <c r="AD20" s="344">
        <f t="shared" si="8"/>
        <v>0</v>
      </c>
      <c r="AE20" s="345">
        <f t="shared" si="9"/>
        <v>388.2</v>
      </c>
      <c r="AF20" s="699"/>
      <c r="AG20" s="699"/>
      <c r="AH20" s="131" t="s">
        <v>656</v>
      </c>
      <c r="AI20" s="5">
        <v>3678</v>
      </c>
      <c r="AJ20" s="5">
        <v>473</v>
      </c>
      <c r="AK20" s="5">
        <v>589</v>
      </c>
      <c r="AL20" s="5">
        <f t="shared" si="0"/>
        <v>4740</v>
      </c>
      <c r="AM20" s="5"/>
      <c r="AN20" s="704">
        <v>953</v>
      </c>
      <c r="AO20" s="5">
        <v>1407</v>
      </c>
      <c r="AP20" s="5">
        <f t="shared" si="1"/>
        <v>2380</v>
      </c>
      <c r="AQ20" s="5">
        <f t="shared" si="10"/>
        <v>24</v>
      </c>
      <c r="AR20" s="5">
        <v>98</v>
      </c>
      <c r="AS20">
        <f t="shared" si="11"/>
        <v>2482</v>
      </c>
      <c r="AT20" s="564"/>
      <c r="AU20">
        <f t="shared" si="12"/>
        <v>2360</v>
      </c>
      <c r="AV20"/>
    </row>
    <row r="21" spans="1:48" ht="25.5" customHeight="1" x14ac:dyDescent="0.25">
      <c r="A21" s="194">
        <v>11</v>
      </c>
      <c r="B21" s="131" t="s">
        <v>657</v>
      </c>
      <c r="C21" s="342">
        <v>372</v>
      </c>
      <c r="D21" s="342">
        <v>56</v>
      </c>
      <c r="E21" s="345">
        <v>3</v>
      </c>
      <c r="F21" s="345">
        <f t="shared" si="2"/>
        <v>168</v>
      </c>
      <c r="G21" s="342">
        <v>18</v>
      </c>
      <c r="H21" s="342">
        <v>0</v>
      </c>
      <c r="I21" s="344">
        <v>3.5</v>
      </c>
      <c r="J21" s="344">
        <f t="shared" si="3"/>
        <v>0</v>
      </c>
      <c r="K21" s="342">
        <v>0</v>
      </c>
      <c r="L21" s="342">
        <v>0</v>
      </c>
      <c r="M21" s="344">
        <v>4</v>
      </c>
      <c r="N21" s="344">
        <f t="shared" si="4"/>
        <v>0</v>
      </c>
      <c r="O21" s="342">
        <v>0</v>
      </c>
      <c r="P21" s="342">
        <v>0</v>
      </c>
      <c r="Q21" s="344">
        <v>4.5</v>
      </c>
      <c r="R21" s="344">
        <f t="shared" si="5"/>
        <v>0</v>
      </c>
      <c r="S21" s="733">
        <v>0</v>
      </c>
      <c r="T21" s="342"/>
      <c r="U21" s="344">
        <v>5</v>
      </c>
      <c r="V21" s="344">
        <f t="shared" si="6"/>
        <v>0</v>
      </c>
      <c r="W21" s="342"/>
      <c r="X21" s="342"/>
      <c r="Y21" s="344">
        <v>5.5</v>
      </c>
      <c r="Z21" s="344">
        <f t="shared" si="7"/>
        <v>0</v>
      </c>
      <c r="AA21" s="342"/>
      <c r="AB21" s="342"/>
      <c r="AC21" s="344">
        <v>6</v>
      </c>
      <c r="AD21" s="344">
        <f t="shared" si="8"/>
        <v>0</v>
      </c>
      <c r="AE21" s="345">
        <f t="shared" si="9"/>
        <v>168</v>
      </c>
      <c r="AF21" s="699"/>
      <c r="AG21" s="699"/>
      <c r="AH21" s="131" t="s">
        <v>657</v>
      </c>
      <c r="AI21" s="5">
        <v>2584</v>
      </c>
      <c r="AJ21" s="5">
        <v>259</v>
      </c>
      <c r="AK21" s="5">
        <v>308</v>
      </c>
      <c r="AL21" s="5">
        <f t="shared" si="0"/>
        <v>3151</v>
      </c>
      <c r="AM21" s="5"/>
      <c r="AN21" s="704">
        <v>637</v>
      </c>
      <c r="AO21" s="5">
        <v>1124</v>
      </c>
      <c r="AP21" s="5">
        <f t="shared" si="1"/>
        <v>1390</v>
      </c>
      <c r="AQ21" s="5">
        <f t="shared" si="10"/>
        <v>0</v>
      </c>
      <c r="AR21" s="5">
        <v>56</v>
      </c>
      <c r="AS21">
        <f t="shared" si="11"/>
        <v>1817</v>
      </c>
      <c r="AT21" s="564"/>
      <c r="AU21">
        <f t="shared" si="12"/>
        <v>1761</v>
      </c>
      <c r="AV21"/>
    </row>
    <row r="22" spans="1:48" ht="25.5" customHeight="1" x14ac:dyDescent="0.25">
      <c r="A22" s="194">
        <v>12</v>
      </c>
      <c r="B22" s="131" t="s">
        <v>658</v>
      </c>
      <c r="C22" s="342">
        <v>1070</v>
      </c>
      <c r="D22" s="342">
        <v>0</v>
      </c>
      <c r="E22" s="345">
        <v>3</v>
      </c>
      <c r="F22" s="345">
        <f t="shared" si="2"/>
        <v>0</v>
      </c>
      <c r="G22" s="342">
        <v>473</v>
      </c>
      <c r="H22" s="342">
        <v>473</v>
      </c>
      <c r="I22" s="344">
        <v>3.5</v>
      </c>
      <c r="J22" s="344">
        <f t="shared" si="3"/>
        <v>1655.5</v>
      </c>
      <c r="K22" s="342">
        <v>67</v>
      </c>
      <c r="L22" s="342">
        <v>67</v>
      </c>
      <c r="M22" s="344">
        <v>4</v>
      </c>
      <c r="N22" s="344">
        <f t="shared" si="4"/>
        <v>268</v>
      </c>
      <c r="O22" s="342">
        <v>224</v>
      </c>
      <c r="P22" s="342">
        <v>224</v>
      </c>
      <c r="Q22" s="344">
        <v>4.5</v>
      </c>
      <c r="R22" s="344">
        <f t="shared" si="5"/>
        <v>1008</v>
      </c>
      <c r="S22" s="733">
        <v>4785.3999999999996</v>
      </c>
      <c r="T22" s="342"/>
      <c r="U22" s="344">
        <v>5</v>
      </c>
      <c r="V22" s="344">
        <f t="shared" si="6"/>
        <v>0</v>
      </c>
      <c r="W22" s="342"/>
      <c r="X22" s="342"/>
      <c r="Y22" s="344">
        <v>5.5</v>
      </c>
      <c r="Z22" s="344">
        <f t="shared" si="7"/>
        <v>0</v>
      </c>
      <c r="AA22" s="342"/>
      <c r="AB22" s="342"/>
      <c r="AC22" s="344">
        <v>6</v>
      </c>
      <c r="AD22" s="344">
        <f t="shared" si="8"/>
        <v>0</v>
      </c>
      <c r="AE22" s="345">
        <f t="shared" si="9"/>
        <v>2931.5</v>
      </c>
      <c r="AF22" s="699"/>
      <c r="AG22" s="699"/>
      <c r="AH22" s="131" t="s">
        <v>658</v>
      </c>
      <c r="AI22" s="71">
        <v>2639</v>
      </c>
      <c r="AJ22" s="71">
        <v>592</v>
      </c>
      <c r="AK22" s="71">
        <v>518</v>
      </c>
      <c r="AL22" s="71">
        <f t="shared" si="0"/>
        <v>3749</v>
      </c>
      <c r="AM22" s="71"/>
      <c r="AN22" s="712">
        <v>1298</v>
      </c>
      <c r="AO22" s="71">
        <v>1687</v>
      </c>
      <c r="AP22" s="71">
        <f t="shared" si="1"/>
        <v>764</v>
      </c>
      <c r="AQ22" s="71">
        <f t="shared" si="10"/>
        <v>764</v>
      </c>
      <c r="AR22" s="71">
        <v>0</v>
      </c>
      <c r="AS22" s="87">
        <f t="shared" si="11"/>
        <v>3749</v>
      </c>
      <c r="AT22" s="639"/>
      <c r="AU22">
        <f t="shared" si="12"/>
        <v>2985</v>
      </c>
      <c r="AV22" s="87"/>
    </row>
    <row r="23" spans="1:48" ht="25.5" customHeight="1" x14ac:dyDescent="0.25">
      <c r="A23" s="194">
        <v>13</v>
      </c>
      <c r="B23" s="130" t="s">
        <v>659</v>
      </c>
      <c r="C23" s="342">
        <v>747</v>
      </c>
      <c r="D23" s="342">
        <v>0</v>
      </c>
      <c r="E23" s="345">
        <v>3</v>
      </c>
      <c r="F23" s="345">
        <f t="shared" si="2"/>
        <v>0</v>
      </c>
      <c r="G23" s="342">
        <v>95</v>
      </c>
      <c r="H23" s="342">
        <v>95</v>
      </c>
      <c r="I23" s="344">
        <v>3.5</v>
      </c>
      <c r="J23" s="344">
        <f t="shared" si="3"/>
        <v>332.5</v>
      </c>
      <c r="K23" s="342">
        <v>103</v>
      </c>
      <c r="L23" s="342">
        <v>103</v>
      </c>
      <c r="M23" s="344">
        <v>4</v>
      </c>
      <c r="N23" s="344">
        <f t="shared" si="4"/>
        <v>412</v>
      </c>
      <c r="O23" s="342">
        <v>62</v>
      </c>
      <c r="P23" s="342">
        <v>62</v>
      </c>
      <c r="Q23" s="344">
        <v>4.5</v>
      </c>
      <c r="R23" s="344">
        <f t="shared" si="5"/>
        <v>279</v>
      </c>
      <c r="S23" s="733">
        <v>4242</v>
      </c>
      <c r="T23" s="342"/>
      <c r="U23" s="344">
        <v>5</v>
      </c>
      <c r="V23" s="344">
        <f t="shared" si="6"/>
        <v>0</v>
      </c>
      <c r="W23" s="342"/>
      <c r="X23" s="342"/>
      <c r="Y23" s="344">
        <v>5.5</v>
      </c>
      <c r="Z23" s="344">
        <f t="shared" si="7"/>
        <v>0</v>
      </c>
      <c r="AA23" s="342"/>
      <c r="AB23" s="342"/>
      <c r="AC23" s="344">
        <v>6</v>
      </c>
      <c r="AD23" s="344">
        <f t="shared" si="8"/>
        <v>0</v>
      </c>
      <c r="AE23" s="345">
        <f t="shared" si="9"/>
        <v>1023.5</v>
      </c>
      <c r="AF23" s="699"/>
      <c r="AG23" s="699"/>
      <c r="AH23" s="130" t="s">
        <v>659</v>
      </c>
      <c r="AI23" s="5">
        <v>1779</v>
      </c>
      <c r="AJ23" s="5">
        <v>448</v>
      </c>
      <c r="AK23" s="5">
        <v>410</v>
      </c>
      <c r="AL23" s="5">
        <f t="shared" si="0"/>
        <v>2637</v>
      </c>
      <c r="AM23" s="5"/>
      <c r="AN23" s="704">
        <v>1572</v>
      </c>
      <c r="AO23" s="5">
        <v>805</v>
      </c>
      <c r="AP23" s="5">
        <f t="shared" si="1"/>
        <v>260</v>
      </c>
      <c r="AQ23" s="5">
        <f t="shared" si="10"/>
        <v>260</v>
      </c>
      <c r="AR23" s="5">
        <v>0</v>
      </c>
      <c r="AS23">
        <f t="shared" si="11"/>
        <v>2637</v>
      </c>
      <c r="AT23" s="564"/>
      <c r="AU23">
        <f t="shared" si="12"/>
        <v>2377</v>
      </c>
      <c r="AV23"/>
    </row>
    <row r="24" spans="1:48" s="349" customFormat="1" ht="25.5" customHeight="1" x14ac:dyDescent="0.2">
      <c r="A24" s="1616" t="s">
        <v>13</v>
      </c>
      <c r="B24" s="1616"/>
      <c r="C24" s="342">
        <f>SUM(C11:C23)</f>
        <v>16084</v>
      </c>
      <c r="D24" s="342">
        <f>SUM(D11:D23)</f>
        <v>3351</v>
      </c>
      <c r="E24" s="343">
        <v>3</v>
      </c>
      <c r="F24" s="343">
        <f>SUM(F11:F23)</f>
        <v>10053</v>
      </c>
      <c r="G24" s="342">
        <f t="shared" ref="G24:T24" si="13">SUM(G11:G23)</f>
        <v>2171</v>
      </c>
      <c r="H24" s="342">
        <f t="shared" si="13"/>
        <v>2153</v>
      </c>
      <c r="I24" s="344">
        <v>3.5</v>
      </c>
      <c r="J24" s="342">
        <f t="shared" si="13"/>
        <v>7537.3</v>
      </c>
      <c r="K24" s="342">
        <f t="shared" si="13"/>
        <v>595</v>
      </c>
      <c r="L24" s="342">
        <f t="shared" si="13"/>
        <v>595</v>
      </c>
      <c r="M24" s="344">
        <v>4</v>
      </c>
      <c r="N24" s="342">
        <f t="shared" si="13"/>
        <v>2380.4</v>
      </c>
      <c r="O24" s="342">
        <f t="shared" si="13"/>
        <v>858</v>
      </c>
      <c r="P24" s="342">
        <f t="shared" si="13"/>
        <v>858</v>
      </c>
      <c r="Q24" s="344">
        <v>4.5</v>
      </c>
      <c r="R24" s="344">
        <f t="shared" si="5"/>
        <v>3861</v>
      </c>
      <c r="S24" s="733">
        <f>SUM(S11:S23)</f>
        <v>32800.200000000004</v>
      </c>
      <c r="T24" s="342">
        <f t="shared" si="13"/>
        <v>29</v>
      </c>
      <c r="U24" s="344">
        <v>5</v>
      </c>
      <c r="V24" s="344">
        <f t="shared" si="6"/>
        <v>145</v>
      </c>
      <c r="W24" s="733">
        <f t="shared" ref="W24:X24" si="14">SUM(W11:W23)</f>
        <v>13</v>
      </c>
      <c r="X24" s="733">
        <f t="shared" si="14"/>
        <v>13</v>
      </c>
      <c r="Y24" s="344">
        <v>5.5</v>
      </c>
      <c r="Z24" s="344">
        <f>SUM(Z11:Z23)</f>
        <v>71.5</v>
      </c>
      <c r="AA24" s="733">
        <f t="shared" ref="AA24" si="15">SUM(AA11:AA23)</f>
        <v>5</v>
      </c>
      <c r="AB24" s="733">
        <f t="shared" ref="AB24" si="16">SUM(AB11:AB23)</f>
        <v>5</v>
      </c>
      <c r="AC24" s="344">
        <v>6</v>
      </c>
      <c r="AD24" s="344">
        <f>SUM(AD11:AD23)</f>
        <v>30</v>
      </c>
      <c r="AE24" s="345">
        <f>SUM(AE11:AE23)</f>
        <v>24080.2</v>
      </c>
      <c r="AF24" s="699"/>
      <c r="AG24" s="699"/>
      <c r="AH24" s="5"/>
      <c r="AI24" s="5">
        <v>33013</v>
      </c>
      <c r="AJ24" s="5">
        <v>5015</v>
      </c>
      <c r="AK24" s="5">
        <v>5197</v>
      </c>
      <c r="AL24" s="5">
        <f t="shared" si="0"/>
        <v>43225</v>
      </c>
      <c r="AM24" s="5"/>
      <c r="AN24" s="704">
        <f>SUM(AN11:AN23)</f>
        <v>13103</v>
      </c>
      <c r="AO24" s="704">
        <f>SUM(AO11:AO23)</f>
        <v>11690</v>
      </c>
      <c r="AP24" s="5">
        <f t="shared" si="1"/>
        <v>18432</v>
      </c>
      <c r="AQ24" s="5">
        <f>SUM(AQ11:AQ23)</f>
        <v>3640</v>
      </c>
      <c r="AR24" s="5">
        <f>SUM(AR11:AR23)</f>
        <v>3351</v>
      </c>
      <c r="AS24">
        <f t="shared" si="11"/>
        <v>31784</v>
      </c>
      <c r="AT24" s="564"/>
      <c r="AU24"/>
      <c r="AV24"/>
    </row>
    <row r="25" spans="1:48" x14ac:dyDescent="0.25">
      <c r="A25" s="334" t="s">
        <v>471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H25"/>
      <c r="AI25"/>
      <c r="AJ25"/>
      <c r="AK25"/>
      <c r="AL25"/>
      <c r="AM25"/>
      <c r="AN25" s="542"/>
      <c r="AO25"/>
      <c r="AP25"/>
      <c r="AQ25"/>
      <c r="AR25"/>
      <c r="AS25"/>
      <c r="AT25"/>
      <c r="AU25"/>
      <c r="AV25"/>
    </row>
    <row r="26" spans="1:48" x14ac:dyDescent="0.25">
      <c r="AH26"/>
      <c r="AI26"/>
      <c r="AJ26"/>
      <c r="AK26"/>
      <c r="AL26"/>
      <c r="AM26"/>
      <c r="AN26" s="542"/>
      <c r="AO26"/>
      <c r="AP26"/>
      <c r="AQ26"/>
      <c r="AR26"/>
      <c r="AS26" s="568">
        <f>AR24*300000/100000</f>
        <v>10053</v>
      </c>
      <c r="AT26"/>
      <c r="AU26"/>
      <c r="AV26"/>
    </row>
    <row r="27" spans="1:48" ht="58.5" customHeight="1" x14ac:dyDescent="0.25">
      <c r="X27" s="1142" t="s">
        <v>646</v>
      </c>
      <c r="Y27" s="1142"/>
      <c r="Z27" s="1142"/>
      <c r="AA27" s="1142"/>
      <c r="AB27" s="1142"/>
      <c r="AC27" s="1142"/>
      <c r="AD27" s="1142"/>
      <c r="AE27" s="1142"/>
      <c r="AF27" s="703"/>
      <c r="AG27" s="703"/>
      <c r="AH27"/>
      <c r="AI27"/>
      <c r="AJ27"/>
      <c r="AK27">
        <f>AD24+Z24+V24+R24+N24+J24</f>
        <v>14025.2</v>
      </c>
      <c r="AL27"/>
      <c r="AM27"/>
      <c r="AN27" s="542"/>
      <c r="AO27"/>
      <c r="AP27"/>
      <c r="AQ27"/>
      <c r="AR27"/>
      <c r="AS27">
        <v>14025.7</v>
      </c>
      <c r="AT27"/>
      <c r="AU27" s="564"/>
      <c r="AV27"/>
    </row>
    <row r="28" spans="1:48" x14ac:dyDescent="0.25">
      <c r="AH28"/>
      <c r="AI28"/>
      <c r="AJ28"/>
      <c r="AK28"/>
      <c r="AL28"/>
      <c r="AM28"/>
      <c r="AN28" s="542"/>
      <c r="AO28"/>
      <c r="AP28"/>
      <c r="AQ28"/>
      <c r="AR28"/>
      <c r="AS28"/>
      <c r="AT28"/>
      <c r="AU28"/>
      <c r="AV28"/>
    </row>
    <row r="29" spans="1:48" x14ac:dyDescent="0.25">
      <c r="AH29"/>
      <c r="AI29"/>
      <c r="AJ29"/>
      <c r="AK29"/>
      <c r="AL29"/>
      <c r="AM29"/>
      <c r="AN29" s="542"/>
      <c r="AO29"/>
      <c r="AP29"/>
      <c r="AQ29"/>
      <c r="AR29"/>
      <c r="AS29" s="568"/>
      <c r="AT29"/>
      <c r="AU29"/>
      <c r="AV29"/>
    </row>
    <row r="30" spans="1:48" x14ac:dyDescent="0.25">
      <c r="AH30"/>
      <c r="AI30"/>
      <c r="AJ30"/>
      <c r="AK30"/>
      <c r="AL30"/>
      <c r="AM30"/>
      <c r="AN30" s="542"/>
      <c r="AO30"/>
      <c r="AP30"/>
      <c r="AQ30"/>
      <c r="AR30"/>
      <c r="AS30"/>
      <c r="AT30"/>
      <c r="AU30"/>
      <c r="AV30"/>
    </row>
    <row r="31" spans="1:48" x14ac:dyDescent="0.25">
      <c r="AH31"/>
      <c r="AI31"/>
      <c r="AJ31"/>
      <c r="AK31"/>
      <c r="AL31"/>
      <c r="AM31"/>
      <c r="AN31" s="542"/>
      <c r="AO31"/>
      <c r="AP31"/>
      <c r="AQ31"/>
      <c r="AR31"/>
      <c r="AS31"/>
      <c r="AT31"/>
      <c r="AU31"/>
      <c r="AV31"/>
    </row>
    <row r="32" spans="1:48" x14ac:dyDescent="0.25">
      <c r="AH32"/>
      <c r="AI32"/>
      <c r="AJ32"/>
      <c r="AK32"/>
      <c r="AL32"/>
      <c r="AM32"/>
      <c r="AN32" s="542"/>
      <c r="AO32"/>
      <c r="AP32"/>
      <c r="AQ32"/>
      <c r="AR32"/>
      <c r="AS32"/>
      <c r="AT32"/>
      <c r="AU32"/>
      <c r="AV32"/>
    </row>
    <row r="33" spans="34:48" x14ac:dyDescent="0.25">
      <c r="AH33"/>
      <c r="AI33"/>
      <c r="AJ33"/>
      <c r="AK33"/>
      <c r="AL33"/>
      <c r="AM33"/>
      <c r="AN33" s="542"/>
      <c r="AO33"/>
      <c r="AP33"/>
      <c r="AQ33"/>
      <c r="AR33"/>
      <c r="AS33"/>
      <c r="AT33"/>
      <c r="AU33"/>
      <c r="AV33"/>
    </row>
    <row r="34" spans="34:48" x14ac:dyDescent="0.25">
      <c r="AH34"/>
      <c r="AI34"/>
      <c r="AJ34"/>
      <c r="AK34"/>
      <c r="AL34"/>
      <c r="AM34"/>
      <c r="AN34" s="542"/>
      <c r="AO34"/>
      <c r="AP34"/>
      <c r="AQ34"/>
      <c r="AR34"/>
      <c r="AS34"/>
      <c r="AT34"/>
      <c r="AU34"/>
      <c r="AV34"/>
    </row>
    <row r="35" spans="34:48" x14ac:dyDescent="0.25">
      <c r="AH35"/>
      <c r="AI35"/>
      <c r="AJ35"/>
      <c r="AK35"/>
      <c r="AL35"/>
      <c r="AM35"/>
      <c r="AN35" s="542"/>
      <c r="AO35"/>
      <c r="AP35"/>
      <c r="AQ35"/>
      <c r="AR35"/>
      <c r="AS35"/>
      <c r="AT35"/>
      <c r="AU35"/>
      <c r="AV35"/>
    </row>
  </sheetData>
  <mergeCells count="20">
    <mergeCell ref="AR9:AR10"/>
    <mergeCell ref="AM9:AM10"/>
    <mergeCell ref="AL9:AL10"/>
    <mergeCell ref="AO9:AO10"/>
    <mergeCell ref="A24:B24"/>
    <mergeCell ref="A8:A9"/>
    <mergeCell ref="X27:AE27"/>
    <mergeCell ref="AN9:AN10"/>
    <mergeCell ref="AP9:AP10"/>
    <mergeCell ref="AQ9:AQ10"/>
    <mergeCell ref="B4:AE4"/>
    <mergeCell ref="B8:B9"/>
    <mergeCell ref="C8:F8"/>
    <mergeCell ref="G8:J8"/>
    <mergeCell ref="K8:N8"/>
    <mergeCell ref="O8:R8"/>
    <mergeCell ref="S8:V8"/>
    <mergeCell ref="W8:Z8"/>
    <mergeCell ref="AA8:AD8"/>
    <mergeCell ref="AE8:AE9"/>
  </mergeCells>
  <printOptions horizontalCentered="1"/>
  <pageMargins left="0.39370078740157483" right="3.937007874015748E-2" top="0.35433070866141736" bottom="0.19685039370078741" header="7.874015748031496E-2" footer="7.874015748031496E-2"/>
  <pageSetup paperSize="9" scale="6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theme="5" tint="0.59999389629810485"/>
  </sheetPr>
  <dimension ref="A1:S27"/>
  <sheetViews>
    <sheetView topLeftCell="A4" zoomScale="85" zoomScaleNormal="85" zoomScaleSheetLayoutView="85" workbookViewId="0">
      <selection activeCell="C32" sqref="C32"/>
    </sheetView>
  </sheetViews>
  <sheetFormatPr defaultColWidth="9.140625" defaultRowHeight="15" x14ac:dyDescent="0.25"/>
  <cols>
    <col min="1" max="1" width="9.140625" style="319"/>
    <col min="2" max="2" width="13.7109375" style="319" customWidth="1"/>
    <col min="3" max="3" width="8.140625" style="319" bestFit="1" customWidth="1"/>
    <col min="4" max="4" width="9.5703125" style="319" bestFit="1" customWidth="1"/>
    <col min="5" max="5" width="4.5703125" style="319" customWidth="1"/>
    <col min="6" max="6" width="8.42578125" style="319" bestFit="1" customWidth="1"/>
    <col min="7" max="7" width="8.140625" style="319" bestFit="1" customWidth="1"/>
    <col min="8" max="8" width="9.5703125" style="319" bestFit="1" customWidth="1"/>
    <col min="9" max="9" width="5.140625" style="319" customWidth="1"/>
    <col min="10" max="10" width="7.140625" style="319" bestFit="1" customWidth="1"/>
    <col min="11" max="11" width="8.42578125" style="319" customWidth="1"/>
    <col min="12" max="12" width="9.5703125" style="319" bestFit="1" customWidth="1"/>
    <col min="13" max="13" width="4.42578125" style="319" customWidth="1"/>
    <col min="14" max="14" width="7.140625" style="319" bestFit="1" customWidth="1"/>
    <col min="15" max="15" width="8.140625" style="319" bestFit="1" customWidth="1"/>
    <col min="16" max="16" width="9.28515625" style="319" customWidth="1"/>
    <col min="17" max="17" width="4.85546875" style="319" customWidth="1"/>
    <col min="18" max="18" width="7.140625" style="319" bestFit="1" customWidth="1"/>
    <col min="19" max="19" width="12.140625" style="319" customWidth="1"/>
    <col min="20" max="16384" width="9.140625" style="332"/>
  </cols>
  <sheetData>
    <row r="1" spans="1:19" s="80" customFormat="1" ht="15.75" x14ac:dyDescent="0.25">
      <c r="A1" s="78"/>
      <c r="B1" s="78"/>
      <c r="C1" s="316"/>
      <c r="D1" s="316"/>
      <c r="E1" s="316"/>
      <c r="F1" s="316"/>
      <c r="G1" s="316"/>
      <c r="H1" s="316"/>
      <c r="I1" s="317" t="s">
        <v>0</v>
      </c>
      <c r="J1" s="316"/>
      <c r="K1" s="78"/>
      <c r="L1" s="78"/>
      <c r="M1" s="78"/>
      <c r="N1" s="78"/>
      <c r="O1" s="78"/>
      <c r="P1" s="78"/>
      <c r="R1" s="350" t="s">
        <v>536</v>
      </c>
    </row>
    <row r="2" spans="1:19" s="80" customFormat="1" ht="20.25" x14ac:dyDescent="0.3">
      <c r="A2" s="78"/>
      <c r="B2" s="78"/>
      <c r="C2" s="78"/>
      <c r="D2" s="78"/>
      <c r="E2" s="78"/>
      <c r="F2" s="78"/>
      <c r="G2" s="318" t="s">
        <v>793</v>
      </c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78"/>
      <c r="S2" s="78"/>
    </row>
    <row r="3" spans="1:19" s="80" customFormat="1" ht="20.25" x14ac:dyDescent="0.3">
      <c r="A3" s="78"/>
      <c r="B3" s="78"/>
      <c r="C3" s="78"/>
      <c r="D3" s="78"/>
      <c r="E3" s="78"/>
      <c r="F3" s="78"/>
      <c r="G3" s="757"/>
      <c r="H3" s="757"/>
      <c r="I3" s="757"/>
      <c r="J3" s="757"/>
      <c r="K3" s="757"/>
      <c r="L3" s="757"/>
      <c r="M3" s="757"/>
      <c r="N3" s="318"/>
      <c r="O3" s="318"/>
      <c r="P3" s="318"/>
      <c r="Q3" s="318"/>
      <c r="R3" s="78"/>
      <c r="S3" s="78"/>
    </row>
    <row r="4" spans="1:19" ht="36" customHeight="1" x14ac:dyDescent="0.25">
      <c r="B4" s="1620" t="s">
        <v>867</v>
      </c>
      <c r="C4" s="1620"/>
      <c r="D4" s="1620"/>
      <c r="E4" s="1620"/>
      <c r="F4" s="1620"/>
      <c r="G4" s="1620"/>
      <c r="H4" s="1620"/>
      <c r="I4" s="1620"/>
      <c r="J4" s="1620"/>
      <c r="K4" s="1620"/>
      <c r="L4" s="1620"/>
      <c r="M4" s="1620"/>
      <c r="N4" s="1620"/>
      <c r="O4" s="1620"/>
      <c r="P4" s="1620"/>
      <c r="Q4" s="1620"/>
      <c r="R4" s="1620"/>
      <c r="S4" s="1620"/>
    </row>
    <row r="5" spans="1:19" ht="15.75" x14ac:dyDescent="0.25">
      <c r="C5" s="320"/>
      <c r="D5" s="321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</row>
    <row r="6" spans="1:19" x14ac:dyDescent="0.25">
      <c r="A6" s="322" t="s">
        <v>661</v>
      </c>
    </row>
    <row r="7" spans="1:19" x14ac:dyDescent="0.25">
      <c r="B7" s="323"/>
      <c r="Q7" s="324" t="s">
        <v>127</v>
      </c>
    </row>
    <row r="8" spans="1:19" s="346" customFormat="1" ht="32.450000000000003" customHeight="1" x14ac:dyDescent="0.2">
      <c r="A8" s="1224" t="s">
        <v>2</v>
      </c>
      <c r="B8" s="1602" t="s">
        <v>3</v>
      </c>
      <c r="C8" s="1615" t="s">
        <v>435</v>
      </c>
      <c r="D8" s="1615"/>
      <c r="E8" s="1615"/>
      <c r="F8" s="1615"/>
      <c r="G8" s="1615" t="s">
        <v>436</v>
      </c>
      <c r="H8" s="1615"/>
      <c r="I8" s="1615"/>
      <c r="J8" s="1615"/>
      <c r="K8" s="1615" t="s">
        <v>437</v>
      </c>
      <c r="L8" s="1615"/>
      <c r="M8" s="1615"/>
      <c r="N8" s="1615"/>
      <c r="O8" s="1615" t="s">
        <v>438</v>
      </c>
      <c r="P8" s="1615"/>
      <c r="Q8" s="1615"/>
      <c r="R8" s="1615"/>
      <c r="S8" s="1621" t="s">
        <v>866</v>
      </c>
    </row>
    <row r="9" spans="1:19" s="346" customFormat="1" ht="86.25" customHeight="1" x14ac:dyDescent="0.2">
      <c r="A9" s="1224"/>
      <c r="B9" s="1602"/>
      <c r="C9" s="326" t="s">
        <v>147</v>
      </c>
      <c r="D9" s="326" t="s">
        <v>149</v>
      </c>
      <c r="E9" s="326" t="s">
        <v>126</v>
      </c>
      <c r="F9" s="326" t="s">
        <v>148</v>
      </c>
      <c r="G9" s="326" t="s">
        <v>228</v>
      </c>
      <c r="H9" s="326" t="s">
        <v>149</v>
      </c>
      <c r="I9" s="326" t="s">
        <v>126</v>
      </c>
      <c r="J9" s="326" t="s">
        <v>148</v>
      </c>
      <c r="K9" s="326" t="s">
        <v>228</v>
      </c>
      <c r="L9" s="326" t="s">
        <v>149</v>
      </c>
      <c r="M9" s="326" t="s">
        <v>126</v>
      </c>
      <c r="N9" s="326" t="s">
        <v>148</v>
      </c>
      <c r="O9" s="326" t="s">
        <v>228</v>
      </c>
      <c r="P9" s="326" t="s">
        <v>149</v>
      </c>
      <c r="Q9" s="326" t="s">
        <v>126</v>
      </c>
      <c r="R9" s="326" t="s">
        <v>148</v>
      </c>
      <c r="S9" s="1622"/>
    </row>
    <row r="10" spans="1:19" s="347" customFormat="1" ht="18" customHeight="1" x14ac:dyDescent="0.25">
      <c r="A10" s="327">
        <v>1</v>
      </c>
      <c r="B10" s="328">
        <v>2</v>
      </c>
      <c r="C10" s="329">
        <v>3</v>
      </c>
      <c r="D10" s="329">
        <v>4</v>
      </c>
      <c r="E10" s="329">
        <v>5</v>
      </c>
      <c r="F10" s="329">
        <v>6</v>
      </c>
      <c r="G10" s="329">
        <v>7</v>
      </c>
      <c r="H10" s="329">
        <v>8</v>
      </c>
      <c r="I10" s="329">
        <v>9</v>
      </c>
      <c r="J10" s="329">
        <v>10</v>
      </c>
      <c r="K10" s="329">
        <v>11</v>
      </c>
      <c r="L10" s="329">
        <v>12</v>
      </c>
      <c r="M10" s="329">
        <v>13</v>
      </c>
      <c r="N10" s="329">
        <v>14</v>
      </c>
      <c r="O10" s="329">
        <v>15</v>
      </c>
      <c r="P10" s="329">
        <v>16</v>
      </c>
      <c r="Q10" s="329">
        <v>17</v>
      </c>
      <c r="R10" s="329">
        <v>18</v>
      </c>
      <c r="S10" s="825">
        <v>19</v>
      </c>
    </row>
    <row r="11" spans="1:19" s="348" customFormat="1" ht="22.5" customHeight="1" x14ac:dyDescent="0.25">
      <c r="A11" s="194">
        <v>1</v>
      </c>
      <c r="B11" s="131" t="s">
        <v>647</v>
      </c>
      <c r="C11" s="1619" t="s">
        <v>747</v>
      </c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</row>
    <row r="12" spans="1:19" s="348" customFormat="1" ht="22.5" customHeight="1" x14ac:dyDescent="0.25">
      <c r="A12" s="194">
        <v>2</v>
      </c>
      <c r="B12" s="131" t="s">
        <v>648</v>
      </c>
      <c r="C12" s="1619"/>
      <c r="D12" s="1619"/>
      <c r="E12" s="1619"/>
      <c r="F12" s="1619"/>
      <c r="G12" s="1619"/>
      <c r="H12" s="1619"/>
      <c r="I12" s="1619"/>
      <c r="J12" s="1619"/>
      <c r="K12" s="1619"/>
      <c r="L12" s="1619"/>
      <c r="M12" s="1619"/>
      <c r="N12" s="1619"/>
      <c r="O12" s="1619"/>
      <c r="P12" s="1619"/>
      <c r="Q12" s="1619"/>
      <c r="R12" s="1619"/>
      <c r="S12" s="1619"/>
    </row>
    <row r="13" spans="1:19" s="348" customFormat="1" ht="22.5" customHeight="1" x14ac:dyDescent="0.25">
      <c r="A13" s="194">
        <v>3</v>
      </c>
      <c r="B13" s="131" t="s">
        <v>649</v>
      </c>
      <c r="C13" s="1619"/>
      <c r="D13" s="1619"/>
      <c r="E13" s="1619"/>
      <c r="F13" s="1619"/>
      <c r="G13" s="1619"/>
      <c r="H13" s="1619"/>
      <c r="I13" s="1619"/>
      <c r="J13" s="1619"/>
      <c r="K13" s="1619"/>
      <c r="L13" s="1619"/>
      <c r="M13" s="1619"/>
      <c r="N13" s="1619"/>
      <c r="O13" s="1619"/>
      <c r="P13" s="1619"/>
      <c r="Q13" s="1619"/>
      <c r="R13" s="1619"/>
      <c r="S13" s="1619"/>
    </row>
    <row r="14" spans="1:19" s="348" customFormat="1" ht="22.5" customHeight="1" x14ac:dyDescent="0.25">
      <c r="A14" s="194">
        <v>4</v>
      </c>
      <c r="B14" s="131" t="s">
        <v>650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</row>
    <row r="15" spans="1:19" s="348" customFormat="1" ht="22.5" customHeight="1" x14ac:dyDescent="0.25">
      <c r="A15" s="194">
        <v>5</v>
      </c>
      <c r="B15" s="131" t="s">
        <v>651</v>
      </c>
      <c r="C15" s="1619"/>
      <c r="D15" s="1619"/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</row>
    <row r="16" spans="1:19" s="348" customFormat="1" ht="22.5" customHeight="1" x14ac:dyDescent="0.25">
      <c r="A16" s="194">
        <v>6</v>
      </c>
      <c r="B16" s="131" t="s">
        <v>652</v>
      </c>
      <c r="C16" s="1619"/>
      <c r="D16" s="1619"/>
      <c r="E16" s="1619"/>
      <c r="F16" s="1619"/>
      <c r="G16" s="1619"/>
      <c r="H16" s="1619"/>
      <c r="I16" s="1619"/>
      <c r="J16" s="1619"/>
      <c r="K16" s="1619"/>
      <c r="L16" s="1619"/>
      <c r="M16" s="1619"/>
      <c r="N16" s="1619"/>
      <c r="O16" s="1619"/>
      <c r="P16" s="1619"/>
      <c r="Q16" s="1619"/>
      <c r="R16" s="1619"/>
      <c r="S16" s="1619"/>
    </row>
    <row r="17" spans="1:19" s="348" customFormat="1" ht="22.5" customHeight="1" x14ac:dyDescent="0.25">
      <c r="A17" s="194">
        <v>7</v>
      </c>
      <c r="B17" s="131" t="s">
        <v>653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</row>
    <row r="18" spans="1:19" ht="22.5" customHeight="1" x14ac:dyDescent="0.25">
      <c r="A18" s="194">
        <v>8</v>
      </c>
      <c r="B18" s="131" t="s">
        <v>654</v>
      </c>
      <c r="C18" s="1619"/>
      <c r="D18" s="1619"/>
      <c r="E18" s="1619"/>
      <c r="F18" s="1619"/>
      <c r="G18" s="1619"/>
      <c r="H18" s="1619"/>
      <c r="I18" s="1619"/>
      <c r="J18" s="1619"/>
      <c r="K18" s="1619"/>
      <c r="L18" s="1619"/>
      <c r="M18" s="1619"/>
      <c r="N18" s="1619"/>
      <c r="O18" s="1619"/>
      <c r="P18" s="1619"/>
      <c r="Q18" s="1619"/>
      <c r="R18" s="1619"/>
      <c r="S18" s="1619"/>
    </row>
    <row r="19" spans="1:19" ht="22.5" customHeight="1" x14ac:dyDescent="0.25">
      <c r="A19" s="194">
        <v>9</v>
      </c>
      <c r="B19" s="131" t="s">
        <v>655</v>
      </c>
      <c r="C19" s="1619"/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</row>
    <row r="20" spans="1:19" ht="22.5" customHeight="1" x14ac:dyDescent="0.25">
      <c r="A20" s="194">
        <v>10</v>
      </c>
      <c r="B20" s="131" t="s">
        <v>656</v>
      </c>
      <c r="C20" s="1619"/>
      <c r="D20" s="1619"/>
      <c r="E20" s="1619"/>
      <c r="F20" s="1619"/>
      <c r="G20" s="1619"/>
      <c r="H20" s="1619"/>
      <c r="I20" s="1619"/>
      <c r="J20" s="1619"/>
      <c r="K20" s="1619"/>
      <c r="L20" s="1619"/>
      <c r="M20" s="1619"/>
      <c r="N20" s="1619"/>
      <c r="O20" s="1619"/>
      <c r="P20" s="1619"/>
      <c r="Q20" s="1619"/>
      <c r="R20" s="1619"/>
      <c r="S20" s="1619"/>
    </row>
    <row r="21" spans="1:19" ht="22.5" customHeight="1" x14ac:dyDescent="0.25">
      <c r="A21" s="194">
        <v>11</v>
      </c>
      <c r="B21" s="131" t="s">
        <v>657</v>
      </c>
      <c r="C21" s="1619"/>
      <c r="D21" s="1619"/>
      <c r="E21" s="1619"/>
      <c r="F21" s="1619"/>
      <c r="G21" s="1619"/>
      <c r="H21" s="1619"/>
      <c r="I21" s="1619"/>
      <c r="J21" s="1619"/>
      <c r="K21" s="1619"/>
      <c r="L21" s="1619"/>
      <c r="M21" s="1619"/>
      <c r="N21" s="1619"/>
      <c r="O21" s="1619"/>
      <c r="P21" s="1619"/>
      <c r="Q21" s="1619"/>
      <c r="R21" s="1619"/>
      <c r="S21" s="1619"/>
    </row>
    <row r="22" spans="1:19" ht="22.5" customHeight="1" x14ac:dyDescent="0.25">
      <c r="A22" s="194">
        <v>12</v>
      </c>
      <c r="B22" s="131" t="s">
        <v>658</v>
      </c>
      <c r="C22" s="1619"/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</row>
    <row r="23" spans="1:19" ht="22.5" customHeight="1" x14ac:dyDescent="0.25">
      <c r="A23" s="194">
        <v>13</v>
      </c>
      <c r="B23" s="130" t="s">
        <v>659</v>
      </c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</row>
    <row r="24" spans="1:19" s="349" customFormat="1" ht="22.5" customHeight="1" x14ac:dyDescent="0.2">
      <c r="A24" s="1616" t="s">
        <v>13</v>
      </c>
      <c r="B24" s="1616"/>
      <c r="C24" s="1619"/>
      <c r="D24" s="1619"/>
      <c r="E24" s="1619"/>
      <c r="F24" s="1619"/>
      <c r="G24" s="1619"/>
      <c r="H24" s="1619"/>
      <c r="I24" s="1619"/>
      <c r="J24" s="1619"/>
      <c r="K24" s="1619"/>
      <c r="L24" s="1619"/>
      <c r="M24" s="1619"/>
      <c r="N24" s="1619"/>
      <c r="O24" s="1619"/>
      <c r="P24" s="1619"/>
      <c r="Q24" s="1619"/>
      <c r="R24" s="1619"/>
      <c r="S24" s="1619"/>
    </row>
    <row r="25" spans="1:19" x14ac:dyDescent="0.25">
      <c r="A25" s="334" t="s">
        <v>471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</row>
    <row r="27" spans="1:19" ht="58.5" customHeight="1" x14ac:dyDescent="0.25">
      <c r="O27" s="1142" t="s">
        <v>646</v>
      </c>
      <c r="P27" s="1142"/>
      <c r="Q27" s="1142"/>
      <c r="R27" s="1142"/>
      <c r="S27" s="1142"/>
    </row>
  </sheetData>
  <mergeCells count="11">
    <mergeCell ref="A24:B24"/>
    <mergeCell ref="O27:S27"/>
    <mergeCell ref="C11:S24"/>
    <mergeCell ref="B4:S4"/>
    <mergeCell ref="A8:A9"/>
    <mergeCell ref="B8:B9"/>
    <mergeCell ref="C8:F8"/>
    <mergeCell ref="G8:J8"/>
    <mergeCell ref="K8:N8"/>
    <mergeCell ref="O8:R8"/>
    <mergeCell ref="S8:S9"/>
  </mergeCells>
  <printOptions horizontalCentered="1"/>
  <pageMargins left="0.59055118110236227" right="7.874015748031496E-2" top="0.35433070866141736" bottom="0.19685039370078741" header="7.874015748031496E-2" footer="7.874015748031496E-2"/>
  <pageSetup paperSize="9" scale="82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theme="5" tint="0.59999389629810485"/>
  </sheetPr>
  <dimension ref="A1:AF26"/>
  <sheetViews>
    <sheetView view="pageBreakPreview" topLeftCell="A11" zoomScale="85" zoomScaleSheetLayoutView="85" workbookViewId="0">
      <selection activeCell="Y10" sqref="Y10"/>
    </sheetView>
  </sheetViews>
  <sheetFormatPr defaultColWidth="9.140625" defaultRowHeight="15" x14ac:dyDescent="0.25"/>
  <cols>
    <col min="1" max="1" width="8.140625" style="32" customWidth="1"/>
    <col min="2" max="2" width="13.140625" style="32" customWidth="1"/>
    <col min="3" max="32" width="5" style="32" customWidth="1"/>
    <col min="33" max="16384" width="9.140625" style="32"/>
  </cols>
  <sheetData>
    <row r="1" spans="1:32" s="11" customFormat="1" ht="15.75" x14ac:dyDescent="0.25">
      <c r="C1" s="19"/>
      <c r="D1" s="19"/>
      <c r="E1" s="19"/>
      <c r="F1" s="19"/>
      <c r="G1" s="19"/>
      <c r="H1" s="19"/>
      <c r="I1" s="19"/>
      <c r="J1" s="19"/>
      <c r="K1" s="47" t="s">
        <v>0</v>
      </c>
      <c r="L1" s="47"/>
      <c r="M1" s="47"/>
      <c r="N1" s="19"/>
      <c r="AA1" s="16"/>
      <c r="AB1" s="16"/>
      <c r="AC1" s="16"/>
      <c r="AD1" s="795" t="s">
        <v>537</v>
      </c>
      <c r="AE1" s="795"/>
      <c r="AF1" s="795"/>
    </row>
    <row r="2" spans="1:32" s="11" customFormat="1" ht="20.25" x14ac:dyDescent="0.3">
      <c r="E2" s="1202" t="s">
        <v>793</v>
      </c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</row>
    <row r="3" spans="1:32" s="11" customFormat="1" ht="20.25" x14ac:dyDescent="0.3"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32" ht="15.75" x14ac:dyDescent="0.25">
      <c r="C4" s="50" t="s">
        <v>869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787"/>
      <c r="Y4" s="787"/>
      <c r="Z4" s="50"/>
      <c r="AA4" s="50"/>
      <c r="AB4" s="50"/>
      <c r="AC4" s="50"/>
      <c r="AD4" s="50"/>
      <c r="AE4" s="50"/>
      <c r="AF4" s="47"/>
    </row>
    <row r="5" spans="1:32" x14ac:dyDescent="0.25">
      <c r="C5" s="33"/>
      <c r="D5" s="33"/>
      <c r="E5" s="33"/>
      <c r="F5" s="33"/>
      <c r="G5" s="33"/>
      <c r="H5" s="33"/>
      <c r="I5" s="33"/>
      <c r="J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x14ac:dyDescent="0.25">
      <c r="A6" s="34" t="s">
        <v>661</v>
      </c>
      <c r="B6" s="36"/>
    </row>
    <row r="7" spans="1:32" s="34" customFormat="1" ht="38.25" customHeight="1" x14ac:dyDescent="0.25">
      <c r="A7" s="1199" t="s">
        <v>2</v>
      </c>
      <c r="B7" s="1630" t="s">
        <v>3</v>
      </c>
      <c r="C7" s="1632" t="s">
        <v>99</v>
      </c>
      <c r="D7" s="1632"/>
      <c r="E7" s="1632"/>
      <c r="F7" s="1632"/>
      <c r="G7" s="1632"/>
      <c r="H7" s="1632"/>
      <c r="I7" s="1624" t="s">
        <v>868</v>
      </c>
      <c r="J7" s="1625"/>
      <c r="K7" s="1625"/>
      <c r="L7" s="1625"/>
      <c r="M7" s="1625"/>
      <c r="N7" s="1626"/>
      <c r="O7" s="1624" t="s">
        <v>180</v>
      </c>
      <c r="P7" s="1625"/>
      <c r="Q7" s="1625"/>
      <c r="R7" s="1625"/>
      <c r="S7" s="1625"/>
      <c r="T7" s="1626"/>
      <c r="U7" s="1632" t="s">
        <v>98</v>
      </c>
      <c r="V7" s="1632"/>
      <c r="W7" s="1632"/>
      <c r="X7" s="1632"/>
      <c r="Y7" s="1632"/>
      <c r="Z7" s="1632"/>
      <c r="AA7" s="1627" t="s">
        <v>216</v>
      </c>
      <c r="AB7" s="1628"/>
      <c r="AC7" s="1628"/>
      <c r="AD7" s="1628"/>
      <c r="AE7" s="1628"/>
      <c r="AF7" s="1629"/>
    </row>
    <row r="8" spans="1:32" s="35" customFormat="1" ht="114.75" customHeight="1" x14ac:dyDescent="0.25">
      <c r="A8" s="1199"/>
      <c r="B8" s="1631"/>
      <c r="C8" s="707" t="s">
        <v>84</v>
      </c>
      <c r="D8" s="707" t="s">
        <v>88</v>
      </c>
      <c r="E8" s="707" t="s">
        <v>89</v>
      </c>
      <c r="F8" s="707" t="s">
        <v>339</v>
      </c>
      <c r="G8" s="707" t="s">
        <v>217</v>
      </c>
      <c r="H8" s="707" t="s">
        <v>13</v>
      </c>
      <c r="I8" s="707" t="s">
        <v>84</v>
      </c>
      <c r="J8" s="707" t="s">
        <v>88</v>
      </c>
      <c r="K8" s="707" t="s">
        <v>89</v>
      </c>
      <c r="L8" s="707" t="s">
        <v>339</v>
      </c>
      <c r="M8" s="707" t="s">
        <v>217</v>
      </c>
      <c r="N8" s="707" t="s">
        <v>13</v>
      </c>
      <c r="O8" s="707" t="s">
        <v>84</v>
      </c>
      <c r="P8" s="707" t="s">
        <v>88</v>
      </c>
      <c r="Q8" s="707" t="s">
        <v>89</v>
      </c>
      <c r="R8" s="707" t="s">
        <v>339</v>
      </c>
      <c r="S8" s="707" t="s">
        <v>217</v>
      </c>
      <c r="T8" s="707" t="s">
        <v>13</v>
      </c>
      <c r="U8" s="707" t="s">
        <v>218</v>
      </c>
      <c r="V8" s="707" t="s">
        <v>219</v>
      </c>
      <c r="W8" s="707" t="s">
        <v>220</v>
      </c>
      <c r="X8" s="707" t="s">
        <v>339</v>
      </c>
      <c r="Y8" s="707" t="s">
        <v>217</v>
      </c>
      <c r="Z8" s="707" t="s">
        <v>81</v>
      </c>
      <c r="AA8" s="707" t="s">
        <v>84</v>
      </c>
      <c r="AB8" s="707" t="s">
        <v>88</v>
      </c>
      <c r="AC8" s="707" t="s">
        <v>220</v>
      </c>
      <c r="AD8" s="707" t="s">
        <v>339</v>
      </c>
      <c r="AE8" s="707" t="s">
        <v>217</v>
      </c>
      <c r="AF8" s="707" t="s">
        <v>13</v>
      </c>
    </row>
    <row r="9" spans="1:32" s="711" customFormat="1" ht="16.149999999999999" customHeight="1" x14ac:dyDescent="0.25">
      <c r="A9" s="708">
        <v>1</v>
      </c>
      <c r="B9" s="709">
        <v>2</v>
      </c>
      <c r="C9" s="709">
        <v>3</v>
      </c>
      <c r="D9" s="710">
        <v>4</v>
      </c>
      <c r="E9" s="710">
        <v>5</v>
      </c>
      <c r="F9" s="710">
        <v>6</v>
      </c>
      <c r="G9" s="710">
        <v>7</v>
      </c>
      <c r="H9" s="710">
        <v>9</v>
      </c>
      <c r="I9" s="710">
        <v>10</v>
      </c>
      <c r="J9" s="710">
        <v>11</v>
      </c>
      <c r="K9" s="710">
        <v>12</v>
      </c>
      <c r="L9" s="710">
        <v>13</v>
      </c>
      <c r="M9" s="710">
        <v>14</v>
      </c>
      <c r="N9" s="710">
        <v>16</v>
      </c>
      <c r="O9" s="710">
        <v>17</v>
      </c>
      <c r="P9" s="710">
        <v>18</v>
      </c>
      <c r="Q9" s="710">
        <v>19</v>
      </c>
      <c r="R9" s="710">
        <v>20</v>
      </c>
      <c r="S9" s="710">
        <v>21</v>
      </c>
      <c r="T9" s="710">
        <v>23</v>
      </c>
      <c r="U9" s="710">
        <v>24</v>
      </c>
      <c r="V9" s="710">
        <v>25</v>
      </c>
      <c r="W9" s="710">
        <v>26</v>
      </c>
      <c r="X9" s="710">
        <v>27</v>
      </c>
      <c r="Y9" s="710">
        <v>28</v>
      </c>
      <c r="Z9" s="710">
        <v>30</v>
      </c>
      <c r="AA9" s="710">
        <v>31</v>
      </c>
      <c r="AB9" s="710">
        <v>32</v>
      </c>
      <c r="AC9" s="710">
        <v>33</v>
      </c>
      <c r="AD9" s="710">
        <v>34</v>
      </c>
      <c r="AE9" s="710">
        <v>35</v>
      </c>
      <c r="AF9" s="710">
        <v>37</v>
      </c>
    </row>
    <row r="10" spans="1:32" s="706" customFormat="1" ht="26.25" customHeight="1" x14ac:dyDescent="0.2">
      <c r="A10" s="705">
        <v>1</v>
      </c>
      <c r="B10" s="131" t="s">
        <v>647</v>
      </c>
      <c r="C10" s="754">
        <v>0</v>
      </c>
      <c r="D10" s="754">
        <v>0</v>
      </c>
      <c r="E10" s="754">
        <v>0</v>
      </c>
      <c r="F10" s="754">
        <v>0</v>
      </c>
      <c r="G10" s="754">
        <v>0</v>
      </c>
      <c r="H10" s="754">
        <v>0</v>
      </c>
      <c r="I10" s="754">
        <v>0</v>
      </c>
      <c r="J10" s="754">
        <v>0</v>
      </c>
      <c r="K10" s="754">
        <v>0</v>
      </c>
      <c r="L10" s="754">
        <v>0</v>
      </c>
      <c r="M10" s="754">
        <v>0</v>
      </c>
      <c r="N10" s="754">
        <v>0</v>
      </c>
      <c r="O10" s="754">
        <v>0</v>
      </c>
      <c r="P10" s="754">
        <v>0</v>
      </c>
      <c r="Q10" s="754">
        <v>0</v>
      </c>
      <c r="R10" s="754">
        <v>0</v>
      </c>
      <c r="S10" s="754">
        <v>0</v>
      </c>
      <c r="T10" s="754">
        <v>0</v>
      </c>
      <c r="U10" s="754">
        <v>0</v>
      </c>
      <c r="V10" s="754">
        <v>0</v>
      </c>
      <c r="W10" s="754">
        <v>0</v>
      </c>
      <c r="X10" s="754">
        <v>0</v>
      </c>
      <c r="Y10" s="754">
        <v>0</v>
      </c>
      <c r="Z10" s="754">
        <v>0</v>
      </c>
      <c r="AA10" s="754">
        <v>0</v>
      </c>
      <c r="AB10" s="754">
        <v>0</v>
      </c>
      <c r="AC10" s="754">
        <v>0</v>
      </c>
      <c r="AD10" s="754">
        <v>0</v>
      </c>
      <c r="AE10" s="754">
        <v>0</v>
      </c>
      <c r="AF10" s="754">
        <v>0</v>
      </c>
    </row>
    <row r="11" spans="1:32" s="706" customFormat="1" ht="26.25" customHeight="1" x14ac:dyDescent="0.2">
      <c r="A11" s="705">
        <v>2</v>
      </c>
      <c r="B11" s="131" t="s">
        <v>648</v>
      </c>
      <c r="C11" s="754">
        <v>0</v>
      </c>
      <c r="D11" s="754">
        <v>0</v>
      </c>
      <c r="E11" s="754">
        <v>0</v>
      </c>
      <c r="F11" s="754">
        <v>0</v>
      </c>
      <c r="G11" s="754">
        <v>0</v>
      </c>
      <c r="H11" s="754">
        <v>0</v>
      </c>
      <c r="I11" s="754">
        <v>0</v>
      </c>
      <c r="J11" s="754">
        <v>0</v>
      </c>
      <c r="K11" s="754">
        <v>0</v>
      </c>
      <c r="L11" s="754">
        <v>0</v>
      </c>
      <c r="M11" s="754">
        <v>0</v>
      </c>
      <c r="N11" s="754">
        <v>0</v>
      </c>
      <c r="O11" s="754">
        <v>0</v>
      </c>
      <c r="P11" s="754">
        <v>0</v>
      </c>
      <c r="Q11" s="754">
        <v>0</v>
      </c>
      <c r="R11" s="754">
        <v>0</v>
      </c>
      <c r="S11" s="754">
        <v>0</v>
      </c>
      <c r="T11" s="754">
        <v>0</v>
      </c>
      <c r="U11" s="754">
        <v>0</v>
      </c>
      <c r="V11" s="754">
        <v>0</v>
      </c>
      <c r="W11" s="754">
        <v>0</v>
      </c>
      <c r="X11" s="754">
        <v>0</v>
      </c>
      <c r="Y11" s="754">
        <v>0</v>
      </c>
      <c r="Z11" s="754">
        <v>0</v>
      </c>
      <c r="AA11" s="754">
        <v>0</v>
      </c>
      <c r="AB11" s="754">
        <v>0</v>
      </c>
      <c r="AC11" s="754">
        <v>0</v>
      </c>
      <c r="AD11" s="754">
        <v>0</v>
      </c>
      <c r="AE11" s="754">
        <v>0</v>
      </c>
      <c r="AF11" s="754">
        <v>0</v>
      </c>
    </row>
    <row r="12" spans="1:32" s="706" customFormat="1" ht="26.25" customHeight="1" x14ac:dyDescent="0.2">
      <c r="A12" s="705">
        <v>3</v>
      </c>
      <c r="B12" s="131" t="s">
        <v>649</v>
      </c>
      <c r="C12" s="754">
        <v>0</v>
      </c>
      <c r="D12" s="754">
        <v>0</v>
      </c>
      <c r="E12" s="754">
        <v>0</v>
      </c>
      <c r="F12" s="754">
        <v>0</v>
      </c>
      <c r="G12" s="754">
        <v>0</v>
      </c>
      <c r="H12" s="754">
        <v>0</v>
      </c>
      <c r="I12" s="754">
        <v>0</v>
      </c>
      <c r="J12" s="754">
        <v>0</v>
      </c>
      <c r="K12" s="754">
        <v>0</v>
      </c>
      <c r="L12" s="754">
        <v>0</v>
      </c>
      <c r="M12" s="754">
        <v>0</v>
      </c>
      <c r="N12" s="754">
        <v>0</v>
      </c>
      <c r="O12" s="754">
        <v>0</v>
      </c>
      <c r="P12" s="754">
        <v>0</v>
      </c>
      <c r="Q12" s="754">
        <v>0</v>
      </c>
      <c r="R12" s="754">
        <v>0</v>
      </c>
      <c r="S12" s="754">
        <v>0</v>
      </c>
      <c r="T12" s="754">
        <v>0</v>
      </c>
      <c r="U12" s="754">
        <v>0</v>
      </c>
      <c r="V12" s="754">
        <v>0</v>
      </c>
      <c r="W12" s="754">
        <v>0</v>
      </c>
      <c r="X12" s="754">
        <v>0</v>
      </c>
      <c r="Y12" s="754">
        <v>0</v>
      </c>
      <c r="Z12" s="754">
        <v>0</v>
      </c>
      <c r="AA12" s="754">
        <v>0</v>
      </c>
      <c r="AB12" s="754">
        <v>0</v>
      </c>
      <c r="AC12" s="754">
        <v>0</v>
      </c>
      <c r="AD12" s="754">
        <v>0</v>
      </c>
      <c r="AE12" s="754">
        <v>0</v>
      </c>
      <c r="AF12" s="754">
        <v>0</v>
      </c>
    </row>
    <row r="13" spans="1:32" s="706" customFormat="1" ht="26.25" customHeight="1" x14ac:dyDescent="0.2">
      <c r="A13" s="705">
        <v>4</v>
      </c>
      <c r="B13" s="131" t="s">
        <v>650</v>
      </c>
      <c r="C13" s="754">
        <v>0</v>
      </c>
      <c r="D13" s="754">
        <v>0</v>
      </c>
      <c r="E13" s="754">
        <v>0</v>
      </c>
      <c r="F13" s="754">
        <v>0</v>
      </c>
      <c r="G13" s="754">
        <v>0</v>
      </c>
      <c r="H13" s="754">
        <v>0</v>
      </c>
      <c r="I13" s="754">
        <v>0</v>
      </c>
      <c r="J13" s="754">
        <v>0</v>
      </c>
      <c r="K13" s="754">
        <v>0</v>
      </c>
      <c r="L13" s="754">
        <v>0</v>
      </c>
      <c r="M13" s="754">
        <v>0</v>
      </c>
      <c r="N13" s="754">
        <v>0</v>
      </c>
      <c r="O13" s="754">
        <v>0</v>
      </c>
      <c r="P13" s="754">
        <v>0</v>
      </c>
      <c r="Q13" s="754">
        <v>0</v>
      </c>
      <c r="R13" s="754">
        <v>0</v>
      </c>
      <c r="S13" s="754">
        <v>0</v>
      </c>
      <c r="T13" s="754">
        <v>0</v>
      </c>
      <c r="U13" s="754">
        <v>0</v>
      </c>
      <c r="V13" s="754">
        <v>0</v>
      </c>
      <c r="W13" s="754">
        <v>0</v>
      </c>
      <c r="X13" s="754">
        <v>0</v>
      </c>
      <c r="Y13" s="754">
        <v>0</v>
      </c>
      <c r="Z13" s="754">
        <v>0</v>
      </c>
      <c r="AA13" s="754">
        <v>0</v>
      </c>
      <c r="AB13" s="754">
        <v>0</v>
      </c>
      <c r="AC13" s="754">
        <v>0</v>
      </c>
      <c r="AD13" s="754">
        <v>0</v>
      </c>
      <c r="AE13" s="754">
        <v>0</v>
      </c>
      <c r="AF13" s="754">
        <v>0</v>
      </c>
    </row>
    <row r="14" spans="1:32" s="706" customFormat="1" ht="26.25" customHeight="1" x14ac:dyDescent="0.2">
      <c r="A14" s="705">
        <v>5</v>
      </c>
      <c r="B14" s="131" t="s">
        <v>651</v>
      </c>
      <c r="C14" s="754">
        <v>0</v>
      </c>
      <c r="D14" s="754">
        <v>0</v>
      </c>
      <c r="E14" s="754">
        <v>0</v>
      </c>
      <c r="F14" s="754">
        <v>0</v>
      </c>
      <c r="G14" s="754">
        <v>0</v>
      </c>
      <c r="H14" s="754">
        <v>0</v>
      </c>
      <c r="I14" s="754">
        <v>0</v>
      </c>
      <c r="J14" s="754">
        <v>0</v>
      </c>
      <c r="K14" s="754">
        <v>0</v>
      </c>
      <c r="L14" s="754">
        <v>0</v>
      </c>
      <c r="M14" s="754">
        <v>0</v>
      </c>
      <c r="N14" s="754">
        <v>0</v>
      </c>
      <c r="O14" s="754">
        <v>0</v>
      </c>
      <c r="P14" s="754">
        <v>0</v>
      </c>
      <c r="Q14" s="754">
        <v>0</v>
      </c>
      <c r="R14" s="754">
        <v>0</v>
      </c>
      <c r="S14" s="754">
        <v>0</v>
      </c>
      <c r="T14" s="754">
        <v>0</v>
      </c>
      <c r="U14" s="754">
        <v>0</v>
      </c>
      <c r="V14" s="754">
        <v>0</v>
      </c>
      <c r="W14" s="754">
        <v>0</v>
      </c>
      <c r="X14" s="754">
        <v>0</v>
      </c>
      <c r="Y14" s="754">
        <v>0</v>
      </c>
      <c r="Z14" s="754">
        <v>0</v>
      </c>
      <c r="AA14" s="754">
        <v>0</v>
      </c>
      <c r="AB14" s="754">
        <v>0</v>
      </c>
      <c r="AC14" s="754">
        <v>0</v>
      </c>
      <c r="AD14" s="754">
        <v>0</v>
      </c>
      <c r="AE14" s="754">
        <v>0</v>
      </c>
      <c r="AF14" s="754">
        <v>0</v>
      </c>
    </row>
    <row r="15" spans="1:32" s="706" customFormat="1" ht="26.25" customHeight="1" x14ac:dyDescent="0.2">
      <c r="A15" s="705">
        <v>6</v>
      </c>
      <c r="B15" s="131" t="s">
        <v>652</v>
      </c>
      <c r="C15" s="754">
        <v>0</v>
      </c>
      <c r="D15" s="754">
        <v>0</v>
      </c>
      <c r="E15" s="754">
        <v>0</v>
      </c>
      <c r="F15" s="754">
        <v>0</v>
      </c>
      <c r="G15" s="754">
        <v>0</v>
      </c>
      <c r="H15" s="754">
        <v>0</v>
      </c>
      <c r="I15" s="754">
        <v>0</v>
      </c>
      <c r="J15" s="754">
        <v>0</v>
      </c>
      <c r="K15" s="754">
        <v>0</v>
      </c>
      <c r="L15" s="754">
        <v>0</v>
      </c>
      <c r="M15" s="754">
        <v>0</v>
      </c>
      <c r="N15" s="754">
        <v>0</v>
      </c>
      <c r="O15" s="754">
        <v>0</v>
      </c>
      <c r="P15" s="754">
        <v>0</v>
      </c>
      <c r="Q15" s="754">
        <v>0</v>
      </c>
      <c r="R15" s="754">
        <v>0</v>
      </c>
      <c r="S15" s="754">
        <v>0</v>
      </c>
      <c r="T15" s="754">
        <v>0</v>
      </c>
      <c r="U15" s="754">
        <v>0</v>
      </c>
      <c r="V15" s="754">
        <v>0</v>
      </c>
      <c r="W15" s="754">
        <v>0</v>
      </c>
      <c r="X15" s="754">
        <v>0</v>
      </c>
      <c r="Y15" s="754">
        <v>0</v>
      </c>
      <c r="Z15" s="754">
        <v>0</v>
      </c>
      <c r="AA15" s="754">
        <v>0</v>
      </c>
      <c r="AB15" s="754">
        <v>0</v>
      </c>
      <c r="AC15" s="754">
        <v>0</v>
      </c>
      <c r="AD15" s="754">
        <v>0</v>
      </c>
      <c r="AE15" s="754">
        <v>0</v>
      </c>
      <c r="AF15" s="754">
        <v>0</v>
      </c>
    </row>
    <row r="16" spans="1:32" s="706" customFormat="1" ht="26.25" customHeight="1" x14ac:dyDescent="0.2">
      <c r="A16" s="705">
        <v>7</v>
      </c>
      <c r="B16" s="131" t="s">
        <v>653</v>
      </c>
      <c r="C16" s="755">
        <v>0</v>
      </c>
      <c r="D16" s="755">
        <v>0</v>
      </c>
      <c r="E16" s="755">
        <v>0</v>
      </c>
      <c r="F16" s="755">
        <v>0</v>
      </c>
      <c r="G16" s="755">
        <v>0</v>
      </c>
      <c r="H16" s="755">
        <v>0</v>
      </c>
      <c r="I16" s="755">
        <v>0</v>
      </c>
      <c r="J16" s="755">
        <v>0</v>
      </c>
      <c r="K16" s="755">
        <v>0</v>
      </c>
      <c r="L16" s="755">
        <v>0</v>
      </c>
      <c r="M16" s="755">
        <v>0</v>
      </c>
      <c r="N16" s="755">
        <v>0</v>
      </c>
      <c r="O16" s="755">
        <v>0</v>
      </c>
      <c r="P16" s="755">
        <v>0</v>
      </c>
      <c r="Q16" s="755">
        <v>0</v>
      </c>
      <c r="R16" s="755">
        <v>0</v>
      </c>
      <c r="S16" s="755">
        <v>0</v>
      </c>
      <c r="T16" s="755">
        <v>0</v>
      </c>
      <c r="U16" s="755">
        <v>0</v>
      </c>
      <c r="V16" s="755">
        <v>0</v>
      </c>
      <c r="W16" s="755">
        <v>0</v>
      </c>
      <c r="X16" s="755">
        <v>0</v>
      </c>
      <c r="Y16" s="755">
        <v>0</v>
      </c>
      <c r="Z16" s="755">
        <v>0</v>
      </c>
      <c r="AA16" s="755">
        <v>0</v>
      </c>
      <c r="AB16" s="755">
        <v>0</v>
      </c>
      <c r="AC16" s="755">
        <v>0</v>
      </c>
      <c r="AD16" s="755">
        <v>0</v>
      </c>
      <c r="AE16" s="755">
        <v>0</v>
      </c>
      <c r="AF16" s="755">
        <v>0</v>
      </c>
    </row>
    <row r="17" spans="1:32" s="706" customFormat="1" ht="26.25" customHeight="1" x14ac:dyDescent="0.2">
      <c r="A17" s="705">
        <v>8</v>
      </c>
      <c r="B17" s="131" t="s">
        <v>654</v>
      </c>
      <c r="C17" s="755">
        <v>0</v>
      </c>
      <c r="D17" s="755">
        <v>0</v>
      </c>
      <c r="E17" s="755">
        <v>0</v>
      </c>
      <c r="F17" s="755">
        <v>0</v>
      </c>
      <c r="G17" s="755">
        <v>0</v>
      </c>
      <c r="H17" s="755">
        <v>0</v>
      </c>
      <c r="I17" s="755">
        <v>0</v>
      </c>
      <c r="J17" s="755">
        <v>0</v>
      </c>
      <c r="K17" s="755">
        <v>0</v>
      </c>
      <c r="L17" s="755">
        <v>0</v>
      </c>
      <c r="M17" s="755">
        <v>0</v>
      </c>
      <c r="N17" s="755">
        <v>0</v>
      </c>
      <c r="O17" s="755">
        <v>0</v>
      </c>
      <c r="P17" s="755">
        <v>0</v>
      </c>
      <c r="Q17" s="755">
        <v>0</v>
      </c>
      <c r="R17" s="755">
        <v>0</v>
      </c>
      <c r="S17" s="755">
        <v>0</v>
      </c>
      <c r="T17" s="755">
        <v>0</v>
      </c>
      <c r="U17" s="755">
        <v>0</v>
      </c>
      <c r="V17" s="755">
        <v>0</v>
      </c>
      <c r="W17" s="755">
        <v>0</v>
      </c>
      <c r="X17" s="755">
        <v>0</v>
      </c>
      <c r="Y17" s="755">
        <v>0</v>
      </c>
      <c r="Z17" s="755">
        <v>0</v>
      </c>
      <c r="AA17" s="755">
        <v>0</v>
      </c>
      <c r="AB17" s="755">
        <v>0</v>
      </c>
      <c r="AC17" s="755">
        <v>0</v>
      </c>
      <c r="AD17" s="755">
        <v>0</v>
      </c>
      <c r="AE17" s="755">
        <v>0</v>
      </c>
      <c r="AF17" s="755">
        <v>0</v>
      </c>
    </row>
    <row r="18" spans="1:32" s="706" customFormat="1" ht="26.25" customHeight="1" x14ac:dyDescent="0.2">
      <c r="A18" s="705">
        <v>9</v>
      </c>
      <c r="B18" s="131" t="s">
        <v>655</v>
      </c>
      <c r="C18" s="755">
        <v>0</v>
      </c>
      <c r="D18" s="755">
        <v>0</v>
      </c>
      <c r="E18" s="755">
        <v>0</v>
      </c>
      <c r="F18" s="755">
        <v>0</v>
      </c>
      <c r="G18" s="755">
        <v>0</v>
      </c>
      <c r="H18" s="755">
        <v>0</v>
      </c>
      <c r="I18" s="755">
        <v>0</v>
      </c>
      <c r="J18" s="755">
        <v>0</v>
      </c>
      <c r="K18" s="755">
        <v>0</v>
      </c>
      <c r="L18" s="755">
        <v>0</v>
      </c>
      <c r="M18" s="755">
        <v>0</v>
      </c>
      <c r="N18" s="755">
        <v>0</v>
      </c>
      <c r="O18" s="755">
        <v>0</v>
      </c>
      <c r="P18" s="755">
        <v>0</v>
      </c>
      <c r="Q18" s="755">
        <v>0</v>
      </c>
      <c r="R18" s="755">
        <v>0</v>
      </c>
      <c r="S18" s="755">
        <v>0</v>
      </c>
      <c r="T18" s="755">
        <v>0</v>
      </c>
      <c r="U18" s="755">
        <v>0</v>
      </c>
      <c r="V18" s="755">
        <v>0</v>
      </c>
      <c r="W18" s="755">
        <v>0</v>
      </c>
      <c r="X18" s="755">
        <v>0</v>
      </c>
      <c r="Y18" s="755">
        <v>0</v>
      </c>
      <c r="Z18" s="755">
        <v>0</v>
      </c>
      <c r="AA18" s="755">
        <v>0</v>
      </c>
      <c r="AB18" s="755">
        <v>0</v>
      </c>
      <c r="AC18" s="755">
        <v>0</v>
      </c>
      <c r="AD18" s="755">
        <v>0</v>
      </c>
      <c r="AE18" s="755">
        <v>0</v>
      </c>
      <c r="AF18" s="755">
        <v>0</v>
      </c>
    </row>
    <row r="19" spans="1:32" s="706" customFormat="1" ht="26.25" customHeight="1" x14ac:dyDescent="0.2">
      <c r="A19" s="705">
        <v>10</v>
      </c>
      <c r="B19" s="131" t="s">
        <v>656</v>
      </c>
      <c r="C19" s="755">
        <v>0</v>
      </c>
      <c r="D19" s="755">
        <v>0</v>
      </c>
      <c r="E19" s="755">
        <v>0</v>
      </c>
      <c r="F19" s="755">
        <v>0</v>
      </c>
      <c r="G19" s="755">
        <v>0</v>
      </c>
      <c r="H19" s="755">
        <v>0</v>
      </c>
      <c r="I19" s="755">
        <v>0</v>
      </c>
      <c r="J19" s="755">
        <v>0</v>
      </c>
      <c r="K19" s="755">
        <v>0</v>
      </c>
      <c r="L19" s="755">
        <v>0</v>
      </c>
      <c r="M19" s="755">
        <v>0</v>
      </c>
      <c r="N19" s="755">
        <v>0</v>
      </c>
      <c r="O19" s="755">
        <v>0</v>
      </c>
      <c r="P19" s="755">
        <v>0</v>
      </c>
      <c r="Q19" s="755">
        <v>0</v>
      </c>
      <c r="R19" s="755">
        <v>0</v>
      </c>
      <c r="S19" s="755">
        <v>0</v>
      </c>
      <c r="T19" s="755">
        <v>0</v>
      </c>
      <c r="U19" s="755">
        <v>0</v>
      </c>
      <c r="V19" s="755">
        <v>0</v>
      </c>
      <c r="W19" s="755">
        <v>0</v>
      </c>
      <c r="X19" s="755">
        <v>0</v>
      </c>
      <c r="Y19" s="755">
        <v>0</v>
      </c>
      <c r="Z19" s="755">
        <v>0</v>
      </c>
      <c r="AA19" s="755">
        <v>0</v>
      </c>
      <c r="AB19" s="755">
        <v>0</v>
      </c>
      <c r="AC19" s="755">
        <v>0</v>
      </c>
      <c r="AD19" s="755">
        <v>0</v>
      </c>
      <c r="AE19" s="755">
        <v>0</v>
      </c>
      <c r="AF19" s="755">
        <v>0</v>
      </c>
    </row>
    <row r="20" spans="1:32" s="706" customFormat="1" ht="26.25" customHeight="1" x14ac:dyDescent="0.2">
      <c r="A20" s="705">
        <v>11</v>
      </c>
      <c r="B20" s="131" t="s">
        <v>657</v>
      </c>
      <c r="C20" s="755">
        <v>0</v>
      </c>
      <c r="D20" s="755">
        <v>0</v>
      </c>
      <c r="E20" s="755">
        <v>0</v>
      </c>
      <c r="F20" s="755">
        <v>0</v>
      </c>
      <c r="G20" s="755">
        <v>0</v>
      </c>
      <c r="H20" s="755">
        <v>0</v>
      </c>
      <c r="I20" s="755">
        <v>0</v>
      </c>
      <c r="J20" s="755">
        <v>0</v>
      </c>
      <c r="K20" s="755">
        <v>0</v>
      </c>
      <c r="L20" s="755">
        <v>0</v>
      </c>
      <c r="M20" s="755">
        <v>0</v>
      </c>
      <c r="N20" s="755">
        <v>0</v>
      </c>
      <c r="O20" s="755">
        <v>0</v>
      </c>
      <c r="P20" s="755">
        <v>0</v>
      </c>
      <c r="Q20" s="755">
        <v>0</v>
      </c>
      <c r="R20" s="755">
        <v>0</v>
      </c>
      <c r="S20" s="755">
        <v>0</v>
      </c>
      <c r="T20" s="755">
        <v>0</v>
      </c>
      <c r="U20" s="755">
        <v>0</v>
      </c>
      <c r="V20" s="755">
        <v>0</v>
      </c>
      <c r="W20" s="755">
        <v>0</v>
      </c>
      <c r="X20" s="755">
        <v>0</v>
      </c>
      <c r="Y20" s="755">
        <v>0</v>
      </c>
      <c r="Z20" s="755">
        <v>0</v>
      </c>
      <c r="AA20" s="755">
        <v>0</v>
      </c>
      <c r="AB20" s="755">
        <v>0</v>
      </c>
      <c r="AC20" s="755">
        <v>0</v>
      </c>
      <c r="AD20" s="755">
        <v>0</v>
      </c>
      <c r="AE20" s="755">
        <v>0</v>
      </c>
      <c r="AF20" s="755">
        <v>0</v>
      </c>
    </row>
    <row r="21" spans="1:32" s="706" customFormat="1" ht="26.25" customHeight="1" x14ac:dyDescent="0.2">
      <c r="A21" s="705">
        <v>12</v>
      </c>
      <c r="B21" s="131" t="s">
        <v>658</v>
      </c>
      <c r="C21" s="755">
        <v>0</v>
      </c>
      <c r="D21" s="755">
        <v>0</v>
      </c>
      <c r="E21" s="755">
        <v>0</v>
      </c>
      <c r="F21" s="755">
        <v>0</v>
      </c>
      <c r="G21" s="755">
        <v>0</v>
      </c>
      <c r="H21" s="755">
        <v>0</v>
      </c>
      <c r="I21" s="755">
        <v>0</v>
      </c>
      <c r="J21" s="755">
        <v>0</v>
      </c>
      <c r="K21" s="755">
        <v>0</v>
      </c>
      <c r="L21" s="755">
        <v>0</v>
      </c>
      <c r="M21" s="755">
        <v>0</v>
      </c>
      <c r="N21" s="755">
        <v>0</v>
      </c>
      <c r="O21" s="755">
        <v>0</v>
      </c>
      <c r="P21" s="755">
        <v>0</v>
      </c>
      <c r="Q21" s="755">
        <v>0</v>
      </c>
      <c r="R21" s="755">
        <v>0</v>
      </c>
      <c r="S21" s="755">
        <v>0</v>
      </c>
      <c r="T21" s="755">
        <v>0</v>
      </c>
      <c r="U21" s="755">
        <v>0</v>
      </c>
      <c r="V21" s="755">
        <v>0</v>
      </c>
      <c r="W21" s="755">
        <v>0</v>
      </c>
      <c r="X21" s="755">
        <v>0</v>
      </c>
      <c r="Y21" s="755">
        <v>0</v>
      </c>
      <c r="Z21" s="755">
        <v>0</v>
      </c>
      <c r="AA21" s="755">
        <v>0</v>
      </c>
      <c r="AB21" s="755">
        <v>0</v>
      </c>
      <c r="AC21" s="755">
        <v>0</v>
      </c>
      <c r="AD21" s="755">
        <v>0</v>
      </c>
      <c r="AE21" s="755">
        <v>0</v>
      </c>
      <c r="AF21" s="755">
        <v>0</v>
      </c>
    </row>
    <row r="22" spans="1:32" s="706" customFormat="1" ht="26.25" customHeight="1" x14ac:dyDescent="0.2">
      <c r="A22" s="705">
        <v>13</v>
      </c>
      <c r="B22" s="130" t="s">
        <v>659</v>
      </c>
      <c r="C22" s="755">
        <v>0</v>
      </c>
      <c r="D22" s="755">
        <v>0</v>
      </c>
      <c r="E22" s="755">
        <v>0</v>
      </c>
      <c r="F22" s="755">
        <v>0</v>
      </c>
      <c r="G22" s="755">
        <v>0</v>
      </c>
      <c r="H22" s="755">
        <v>0</v>
      </c>
      <c r="I22" s="755">
        <v>0</v>
      </c>
      <c r="J22" s="755">
        <v>0</v>
      </c>
      <c r="K22" s="755">
        <v>0</v>
      </c>
      <c r="L22" s="755">
        <v>0</v>
      </c>
      <c r="M22" s="755">
        <v>0</v>
      </c>
      <c r="N22" s="755">
        <v>0</v>
      </c>
      <c r="O22" s="755">
        <v>0</v>
      </c>
      <c r="P22" s="755">
        <v>0</v>
      </c>
      <c r="Q22" s="755">
        <v>0</v>
      </c>
      <c r="R22" s="755">
        <v>0</v>
      </c>
      <c r="S22" s="755">
        <v>0</v>
      </c>
      <c r="T22" s="755">
        <v>0</v>
      </c>
      <c r="U22" s="755">
        <v>0</v>
      </c>
      <c r="V22" s="755">
        <v>0</v>
      </c>
      <c r="W22" s="755">
        <v>0</v>
      </c>
      <c r="X22" s="755">
        <v>0</v>
      </c>
      <c r="Y22" s="755">
        <v>0</v>
      </c>
      <c r="Z22" s="755">
        <v>0</v>
      </c>
      <c r="AA22" s="755">
        <v>0</v>
      </c>
      <c r="AB22" s="755">
        <v>0</v>
      </c>
      <c r="AC22" s="755">
        <v>0</v>
      </c>
      <c r="AD22" s="755">
        <v>0</v>
      </c>
      <c r="AE22" s="755">
        <v>0</v>
      </c>
      <c r="AF22" s="755">
        <v>0</v>
      </c>
    </row>
    <row r="23" spans="1:32" s="706" customFormat="1" ht="26.25" customHeight="1" x14ac:dyDescent="0.2">
      <c r="A23" s="1623" t="s">
        <v>13</v>
      </c>
      <c r="B23" s="1623"/>
      <c r="C23" s="755">
        <v>0</v>
      </c>
      <c r="D23" s="755">
        <v>0</v>
      </c>
      <c r="E23" s="755">
        <v>0</v>
      </c>
      <c r="F23" s="755">
        <v>0</v>
      </c>
      <c r="G23" s="755">
        <v>0</v>
      </c>
      <c r="H23" s="755">
        <v>0</v>
      </c>
      <c r="I23" s="755">
        <v>0</v>
      </c>
      <c r="J23" s="755">
        <v>0</v>
      </c>
      <c r="K23" s="755">
        <v>0</v>
      </c>
      <c r="L23" s="755">
        <v>0</v>
      </c>
      <c r="M23" s="755">
        <v>0</v>
      </c>
      <c r="N23" s="755">
        <v>0</v>
      </c>
      <c r="O23" s="755">
        <v>0</v>
      </c>
      <c r="P23" s="755">
        <v>0</v>
      </c>
      <c r="Q23" s="755">
        <v>0</v>
      </c>
      <c r="R23" s="755">
        <v>0</v>
      </c>
      <c r="S23" s="755">
        <v>0</v>
      </c>
      <c r="T23" s="755">
        <v>0</v>
      </c>
      <c r="U23" s="755">
        <v>0</v>
      </c>
      <c r="V23" s="755">
        <v>0</v>
      </c>
      <c r="W23" s="755">
        <v>0</v>
      </c>
      <c r="X23" s="755">
        <v>0</v>
      </c>
      <c r="Y23" s="755">
        <v>0</v>
      </c>
      <c r="Z23" s="755">
        <v>0</v>
      </c>
      <c r="AA23" s="755">
        <v>0</v>
      </c>
      <c r="AB23" s="755">
        <v>0</v>
      </c>
      <c r="AC23" s="755">
        <v>0</v>
      </c>
      <c r="AD23" s="755">
        <v>0</v>
      </c>
      <c r="AE23" s="755">
        <v>0</v>
      </c>
      <c r="AF23" s="755">
        <v>0</v>
      </c>
    </row>
    <row r="26" spans="1:32" ht="54" customHeight="1" x14ac:dyDescent="0.25">
      <c r="B26" s="953" t="s">
        <v>741</v>
      </c>
      <c r="X26" s="1142" t="s">
        <v>646</v>
      </c>
      <c r="Y26" s="1142"/>
      <c r="Z26" s="1142"/>
      <c r="AA26" s="1142"/>
      <c r="AB26" s="1142"/>
      <c r="AC26" s="1142"/>
      <c r="AD26" s="1142"/>
      <c r="AE26" s="1142"/>
      <c r="AF26" s="1142"/>
    </row>
  </sheetData>
  <mergeCells count="10">
    <mergeCell ref="X26:AF26"/>
    <mergeCell ref="A23:B23"/>
    <mergeCell ref="O7:T7"/>
    <mergeCell ref="E2:V2"/>
    <mergeCell ref="AA7:AF7"/>
    <mergeCell ref="A7:A8"/>
    <mergeCell ref="B7:B8"/>
    <mergeCell ref="C7:H7"/>
    <mergeCell ref="I7:N7"/>
    <mergeCell ref="U7:Z7"/>
  </mergeCells>
  <phoneticPr fontId="0" type="noConversion"/>
  <printOptions horizontalCentered="1"/>
  <pageMargins left="0.70866141732283472" right="7.874015748031496E-2" top="0.31496062992125984" bottom="0.27559055118110237" header="7.874015748031496E-2" footer="7.874015748031496E-2"/>
  <pageSetup paperSize="9" scale="7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2"/>
  <sheetViews>
    <sheetView view="pageBreakPreview" topLeftCell="A4" zoomScale="70" zoomScaleSheetLayoutView="70" workbookViewId="0">
      <selection activeCell="P17" sqref="P17"/>
    </sheetView>
  </sheetViews>
  <sheetFormatPr defaultColWidth="8.85546875" defaultRowHeight="14.25" x14ac:dyDescent="0.2"/>
  <cols>
    <col min="1" max="1" width="8.140625" style="1667" customWidth="1"/>
    <col min="2" max="2" width="14.85546875" style="1667" customWidth="1"/>
    <col min="3" max="3" width="10.85546875" style="1667" customWidth="1"/>
    <col min="4" max="4" width="10" style="1667" customWidth="1"/>
    <col min="5" max="5" width="11.28515625" style="1667" customWidth="1"/>
    <col min="6" max="6" width="17.140625" style="1667" customWidth="1"/>
    <col min="7" max="7" width="11.42578125" style="1667" customWidth="1"/>
    <col min="8" max="8" width="10.85546875" style="1667" customWidth="1"/>
    <col min="9" max="9" width="11.85546875" style="1667" customWidth="1"/>
    <col min="10" max="10" width="16" style="1667" customWidth="1"/>
    <col min="11" max="11" width="11.140625" style="1667" customWidth="1"/>
    <col min="12" max="12" width="15.140625" style="1667" customWidth="1"/>
    <col min="13" max="13" width="11.85546875" style="1668" customWidth="1"/>
    <col min="14" max="16384" width="8.85546875" style="1667"/>
  </cols>
  <sheetData>
    <row r="1" spans="1:13" ht="15" x14ac:dyDescent="0.2">
      <c r="B1" s="1084"/>
      <c r="C1" s="1084"/>
      <c r="D1" s="1084"/>
      <c r="E1" s="1084"/>
      <c r="F1" s="1085"/>
      <c r="G1" s="1085"/>
      <c r="H1" s="1084"/>
      <c r="J1" s="1092"/>
      <c r="K1" s="1580" t="s">
        <v>538</v>
      </c>
      <c r="L1" s="1580"/>
    </row>
    <row r="2" spans="1:13" ht="15.75" x14ac:dyDescent="0.25">
      <c r="B2" s="1581" t="s">
        <v>0</v>
      </c>
      <c r="C2" s="1581"/>
      <c r="D2" s="1581"/>
      <c r="E2" s="1581"/>
      <c r="F2" s="1581"/>
      <c r="G2" s="1581"/>
      <c r="H2" s="1581"/>
      <c r="I2" s="1581"/>
      <c r="J2" s="1581"/>
    </row>
    <row r="3" spans="1:13" ht="20.25" x14ac:dyDescent="0.3">
      <c r="B3" s="1282" t="s">
        <v>793</v>
      </c>
      <c r="C3" s="1282"/>
      <c r="D3" s="1282"/>
      <c r="E3" s="1282"/>
      <c r="F3" s="1282"/>
      <c r="G3" s="1282"/>
      <c r="H3" s="1282"/>
      <c r="I3" s="1282"/>
      <c r="J3" s="1282"/>
    </row>
    <row r="4" spans="1:13" ht="20.25" x14ac:dyDescent="0.3">
      <c r="B4" s="1086"/>
      <c r="C4" s="1086"/>
      <c r="D4" s="1086"/>
      <c r="E4" s="1086"/>
      <c r="F4" s="1086"/>
      <c r="G4" s="1086"/>
      <c r="H4" s="1086"/>
      <c r="I4" s="1086"/>
      <c r="J4" s="1086"/>
    </row>
    <row r="5" spans="1:13" ht="15.6" customHeight="1" x14ac:dyDescent="0.25">
      <c r="B5" s="1669" t="s">
        <v>870</v>
      </c>
      <c r="C5" s="1669"/>
      <c r="D5" s="1669"/>
      <c r="E5" s="1669"/>
      <c r="F5" s="1669"/>
      <c r="G5" s="1669"/>
      <c r="H5" s="1669"/>
      <c r="I5" s="1669"/>
      <c r="J5" s="1669"/>
      <c r="K5" s="1669"/>
      <c r="L5" s="1669"/>
    </row>
    <row r="6" spans="1:13" x14ac:dyDescent="0.2">
      <c r="A6" s="1585" t="s">
        <v>662</v>
      </c>
      <c r="B6" s="1585"/>
      <c r="C6" s="1089"/>
    </row>
    <row r="7" spans="1:13" ht="15" customHeight="1" x14ac:dyDescent="0.2">
      <c r="A7" s="1670" t="s">
        <v>100</v>
      </c>
      <c r="B7" s="1671" t="s">
        <v>3</v>
      </c>
      <c r="C7" s="1672" t="s">
        <v>18</v>
      </c>
      <c r="D7" s="1672"/>
      <c r="E7" s="1672"/>
      <c r="F7" s="1672"/>
      <c r="G7" s="1672" t="s">
        <v>19</v>
      </c>
      <c r="H7" s="1672"/>
      <c r="I7" s="1672"/>
      <c r="J7" s="1672"/>
      <c r="K7" s="1673" t="s">
        <v>366</v>
      </c>
      <c r="L7" s="1673" t="s">
        <v>1013</v>
      </c>
      <c r="M7" s="1671" t="s">
        <v>1014</v>
      </c>
    </row>
    <row r="8" spans="1:13" ht="31.15" customHeight="1" x14ac:dyDescent="0.2">
      <c r="A8" s="1674"/>
      <c r="B8" s="1675"/>
      <c r="C8" s="1673" t="s">
        <v>229</v>
      </c>
      <c r="D8" s="1671" t="s">
        <v>422</v>
      </c>
      <c r="E8" s="1676" t="s">
        <v>87</v>
      </c>
      <c r="F8" s="1677"/>
      <c r="G8" s="1673" t="s">
        <v>229</v>
      </c>
      <c r="H8" s="1673" t="s">
        <v>422</v>
      </c>
      <c r="I8" s="1673" t="s">
        <v>87</v>
      </c>
      <c r="J8" s="1673"/>
      <c r="K8" s="1673"/>
      <c r="L8" s="1673"/>
      <c r="M8" s="1675"/>
    </row>
    <row r="9" spans="1:13" ht="81" customHeight="1" x14ac:dyDescent="0.2">
      <c r="A9" s="1678"/>
      <c r="B9" s="1679"/>
      <c r="C9" s="1673"/>
      <c r="D9" s="1679"/>
      <c r="E9" s="1680" t="s">
        <v>871</v>
      </c>
      <c r="F9" s="1680" t="s">
        <v>423</v>
      </c>
      <c r="G9" s="1673"/>
      <c r="H9" s="1673"/>
      <c r="I9" s="1680" t="s">
        <v>871</v>
      </c>
      <c r="J9" s="1680" t="s">
        <v>423</v>
      </c>
      <c r="K9" s="1673"/>
      <c r="L9" s="1673"/>
      <c r="M9" s="1679"/>
    </row>
    <row r="10" spans="1:13" x14ac:dyDescent="0.2">
      <c r="A10" s="1681">
        <v>1</v>
      </c>
      <c r="B10" s="1682">
        <v>2</v>
      </c>
      <c r="C10" s="1681">
        <v>3</v>
      </c>
      <c r="D10" s="1682">
        <v>4</v>
      </c>
      <c r="E10" s="1681">
        <v>5</v>
      </c>
      <c r="F10" s="1682">
        <v>6</v>
      </c>
      <c r="G10" s="1683">
        <v>7</v>
      </c>
      <c r="H10" s="1684">
        <v>8</v>
      </c>
      <c r="I10" s="1683">
        <v>9</v>
      </c>
      <c r="J10" s="1684">
        <v>10</v>
      </c>
      <c r="K10" s="1685" t="s">
        <v>547</v>
      </c>
      <c r="L10" s="1684">
        <v>12</v>
      </c>
      <c r="M10" s="1668">
        <v>13</v>
      </c>
    </row>
    <row r="11" spans="1:13" s="424" customFormat="1" ht="23.25" customHeight="1" x14ac:dyDescent="0.25">
      <c r="A11" s="1686">
        <v>1</v>
      </c>
      <c r="B11" s="1687" t="s">
        <v>647</v>
      </c>
      <c r="C11" s="915">
        <f>[2]AT27_Req_FG_CA_Pry!G11</f>
        <v>107596</v>
      </c>
      <c r="D11" s="915">
        <f>'[2]AT-8_Hon_CCH_Pry'!C13</f>
        <v>4553</v>
      </c>
      <c r="E11" s="915">
        <f>'[2]AT-8_Hon_CCH_Pry'!D13</f>
        <v>4163</v>
      </c>
      <c r="F11" s="1088">
        <v>0</v>
      </c>
      <c r="G11" s="915">
        <f>[2]AT27A_Req_FG_CA_UPry!G11+[2]AT27B_Req_FG_CA_NCLP.!C11</f>
        <v>70378</v>
      </c>
      <c r="H11" s="312">
        <f>'[2]AT-8A_Hon_CCH_UPry'!C13</f>
        <v>2182</v>
      </c>
      <c r="I11" s="915">
        <f>'[2]AT-8A_Hon_CCH_UPry'!D13</f>
        <v>2182</v>
      </c>
      <c r="J11" s="970">
        <v>0</v>
      </c>
      <c r="K11" s="915">
        <f>E11+F11+I11+J11</f>
        <v>6345</v>
      </c>
      <c r="L11" s="1688">
        <v>0</v>
      </c>
      <c r="M11" s="1689">
        <v>244</v>
      </c>
    </row>
    <row r="12" spans="1:13" s="424" customFormat="1" ht="23.25" customHeight="1" x14ac:dyDescent="0.25">
      <c r="A12" s="1686">
        <v>2</v>
      </c>
      <c r="B12" s="1687" t="s">
        <v>648</v>
      </c>
      <c r="C12" s="915">
        <f>[2]AT27_Req_FG_CA_Pry!G12</f>
        <v>88121</v>
      </c>
      <c r="D12" s="915">
        <f>'[2]AT-8_Hon_CCH_Pry'!C14</f>
        <v>4224</v>
      </c>
      <c r="E12" s="915">
        <f>'[2]AT-8_Hon_CCH_Pry'!D14</f>
        <v>3442</v>
      </c>
      <c r="F12" s="1088">
        <v>0</v>
      </c>
      <c r="G12" s="915">
        <f>[2]AT27A_Req_FG_CA_UPry!G12+[2]AT27B_Req_FG_CA_NCLP.!C12</f>
        <v>55793</v>
      </c>
      <c r="H12" s="312">
        <f>'[2]AT-8A_Hon_CCH_UPry'!C14</f>
        <v>1974</v>
      </c>
      <c r="I12" s="915">
        <f>'[2]AT-8A_Hon_CCH_UPry'!D14</f>
        <v>1943</v>
      </c>
      <c r="J12" s="970">
        <v>0</v>
      </c>
      <c r="K12" s="915">
        <f t="shared" ref="K12:K23" si="0">E12+F12+I12+J12</f>
        <v>5385</v>
      </c>
      <c r="L12" s="1688">
        <f>81+25</f>
        <v>106</v>
      </c>
      <c r="M12" s="1689">
        <v>256</v>
      </c>
    </row>
    <row r="13" spans="1:13" s="424" customFormat="1" ht="23.25" customHeight="1" x14ac:dyDescent="0.25">
      <c r="A13" s="1686">
        <v>3</v>
      </c>
      <c r="B13" s="1687" t="s">
        <v>649</v>
      </c>
      <c r="C13" s="915">
        <f>[2]AT27_Req_FG_CA_Pry!G13</f>
        <v>132136</v>
      </c>
      <c r="D13" s="915">
        <f>'[2]AT-8_Hon_CCH_Pry'!C15</f>
        <v>4991</v>
      </c>
      <c r="E13" s="915">
        <f>'[2]AT-8_Hon_CCH_Pry'!D15</f>
        <v>4436</v>
      </c>
      <c r="F13" s="1088">
        <v>0</v>
      </c>
      <c r="G13" s="915">
        <f>[2]AT27A_Req_FG_CA_UPry!G13+[2]AT27B_Req_FG_CA_NCLP.!C13</f>
        <v>75440</v>
      </c>
      <c r="H13" s="312">
        <f>'[2]AT-8A_Hon_CCH_UPry'!C15</f>
        <v>1861</v>
      </c>
      <c r="I13" s="915">
        <f>'[2]AT-8A_Hon_CCH_UPry'!D15</f>
        <v>1828</v>
      </c>
      <c r="J13" s="970">
        <v>0</v>
      </c>
      <c r="K13" s="915">
        <f t="shared" si="0"/>
        <v>6264</v>
      </c>
      <c r="L13" s="1688">
        <v>0</v>
      </c>
      <c r="M13" s="1689">
        <v>276</v>
      </c>
    </row>
    <row r="14" spans="1:13" s="424" customFormat="1" ht="23.25" customHeight="1" x14ac:dyDescent="0.25">
      <c r="A14" s="1686">
        <v>4</v>
      </c>
      <c r="B14" s="1687" t="s">
        <v>650</v>
      </c>
      <c r="C14" s="915">
        <f>[2]AT27_Req_FG_CA_Pry!G14</f>
        <v>169844</v>
      </c>
      <c r="D14" s="915">
        <f>'[2]AT-8_Hon_CCH_Pry'!C16</f>
        <v>5848</v>
      </c>
      <c r="E14" s="915">
        <f>'[2]AT-8_Hon_CCH_Pry'!D16</f>
        <v>5754</v>
      </c>
      <c r="F14" s="1088">
        <v>0</v>
      </c>
      <c r="G14" s="915">
        <f>[2]AT27A_Req_FG_CA_UPry!G14+[2]AT27B_Req_FG_CA_NCLP.!C14</f>
        <v>129101</v>
      </c>
      <c r="H14" s="312">
        <f>'[2]AT-8A_Hon_CCH_UPry'!C16</f>
        <v>3014</v>
      </c>
      <c r="I14" s="915">
        <f>'[2]AT-8A_Hon_CCH_UPry'!D16</f>
        <v>3003</v>
      </c>
      <c r="J14" s="970">
        <v>0</v>
      </c>
      <c r="K14" s="915">
        <f t="shared" si="0"/>
        <v>8757</v>
      </c>
      <c r="L14" s="1688">
        <v>0</v>
      </c>
      <c r="M14" s="1689">
        <v>360</v>
      </c>
    </row>
    <row r="15" spans="1:13" s="424" customFormat="1" ht="23.25" customHeight="1" x14ac:dyDescent="0.25">
      <c r="A15" s="1686">
        <v>5</v>
      </c>
      <c r="B15" s="1687" t="s">
        <v>651</v>
      </c>
      <c r="C15" s="915">
        <f>[2]AT27_Req_FG_CA_Pry!G15</f>
        <v>123227</v>
      </c>
      <c r="D15" s="915">
        <f>'[2]AT-8_Hon_CCH_Pry'!C17</f>
        <v>4596</v>
      </c>
      <c r="E15" s="915">
        <f>'[2]AT-8_Hon_CCH_Pry'!D17</f>
        <v>4185</v>
      </c>
      <c r="F15" s="1088">
        <v>0</v>
      </c>
      <c r="G15" s="915">
        <f>[2]AT27A_Req_FG_CA_UPry!G15+[2]AT27B_Req_FG_CA_NCLP.!C15</f>
        <v>95094</v>
      </c>
      <c r="H15" s="312">
        <f>'[2]AT-8A_Hon_CCH_UPry'!C17</f>
        <v>2329</v>
      </c>
      <c r="I15" s="915">
        <f>'[2]AT-8A_Hon_CCH_UPry'!D17</f>
        <v>2290</v>
      </c>
      <c r="J15" s="970">
        <v>0</v>
      </c>
      <c r="K15" s="915">
        <f t="shared" si="0"/>
        <v>6475</v>
      </c>
      <c r="L15" s="1688">
        <v>0</v>
      </c>
      <c r="M15" s="1689">
        <v>294</v>
      </c>
    </row>
    <row r="16" spans="1:13" s="424" customFormat="1" ht="23.25" customHeight="1" x14ac:dyDescent="0.25">
      <c r="A16" s="1686">
        <v>6</v>
      </c>
      <c r="B16" s="1687" t="s">
        <v>652</v>
      </c>
      <c r="C16" s="915">
        <f>[2]AT27_Req_FG_CA_Pry!G16</f>
        <v>116889</v>
      </c>
      <c r="D16" s="915">
        <f>'[2]AT-8_Hon_CCH_Pry'!C18</f>
        <v>3738</v>
      </c>
      <c r="E16" s="915">
        <f>'[2]AT-8_Hon_CCH_Pry'!D18</f>
        <v>3026</v>
      </c>
      <c r="F16" s="1088">
        <v>0</v>
      </c>
      <c r="G16" s="915">
        <f>[2]AT27A_Req_FG_CA_UPry!G16+[2]AT27B_Req_FG_CA_NCLP.!C16</f>
        <v>83442</v>
      </c>
      <c r="H16" s="312">
        <f>'[2]AT-8A_Hon_CCH_UPry'!C18</f>
        <v>2645</v>
      </c>
      <c r="I16" s="915">
        <f>'[2]AT-8A_Hon_CCH_UPry'!D18</f>
        <v>2645</v>
      </c>
      <c r="J16" s="970">
        <v>0</v>
      </c>
      <c r="K16" s="915">
        <f t="shared" si="0"/>
        <v>5671</v>
      </c>
      <c r="L16" s="1688">
        <v>0</v>
      </c>
      <c r="M16" s="1689">
        <v>260</v>
      </c>
    </row>
    <row r="17" spans="1:13" s="424" customFormat="1" ht="23.25" customHeight="1" x14ac:dyDescent="0.25">
      <c r="A17" s="1686">
        <v>7</v>
      </c>
      <c r="B17" s="1687" t="s">
        <v>653</v>
      </c>
      <c r="C17" s="915">
        <f>[2]AT27_Req_FG_CA_Pry!G17</f>
        <v>158307</v>
      </c>
      <c r="D17" s="915">
        <f>'[2]AT-8_Hon_CCH_Pry'!C19</f>
        <v>4952</v>
      </c>
      <c r="E17" s="915">
        <f>'[2]AT-8_Hon_CCH_Pry'!D19</f>
        <v>4806</v>
      </c>
      <c r="F17" s="1088">
        <v>0</v>
      </c>
      <c r="G17" s="915">
        <f>[2]AT27A_Req_FG_CA_UPry!G17+[2]AT27B_Req_FG_CA_NCLP.!C17</f>
        <v>102241</v>
      </c>
      <c r="H17" s="312">
        <f>'[2]AT-8A_Hon_CCH_UPry'!C19</f>
        <v>1965</v>
      </c>
      <c r="I17" s="915">
        <f>'[2]AT-8A_Hon_CCH_UPry'!D19</f>
        <v>1946</v>
      </c>
      <c r="J17" s="970">
        <v>0</v>
      </c>
      <c r="K17" s="915">
        <f t="shared" si="0"/>
        <v>6752</v>
      </c>
      <c r="L17" s="1688">
        <v>0</v>
      </c>
      <c r="M17" s="1689">
        <v>300</v>
      </c>
    </row>
    <row r="18" spans="1:13" s="424" customFormat="1" ht="23.25" customHeight="1" x14ac:dyDescent="0.25">
      <c r="A18" s="1686">
        <v>8</v>
      </c>
      <c r="B18" s="1687" t="s">
        <v>654</v>
      </c>
      <c r="C18" s="915">
        <f>[2]AT27_Req_FG_CA_Pry!G18</f>
        <v>151986</v>
      </c>
      <c r="D18" s="915">
        <f>'[2]AT-8_Hon_CCH_Pry'!C20</f>
        <v>4725</v>
      </c>
      <c r="E18" s="915">
        <f>'[2]AT-8_Hon_CCH_Pry'!D20</f>
        <v>4165</v>
      </c>
      <c r="F18" s="1088">
        <v>0</v>
      </c>
      <c r="G18" s="915">
        <f>[2]AT27A_Req_FG_CA_UPry!G18+[2]AT27B_Req_FG_CA_NCLP.!C18</f>
        <v>79761</v>
      </c>
      <c r="H18" s="312">
        <f>'[2]AT-8A_Hon_CCH_UPry'!C20</f>
        <v>2027</v>
      </c>
      <c r="I18" s="915">
        <f>'[2]AT-8A_Hon_CCH_UPry'!D20</f>
        <v>1870</v>
      </c>
      <c r="J18" s="970">
        <v>0</v>
      </c>
      <c r="K18" s="915">
        <f t="shared" si="0"/>
        <v>6035</v>
      </c>
      <c r="L18" s="1688">
        <f>1873+4309</f>
        <v>6182</v>
      </c>
      <c r="M18" s="1689">
        <v>0</v>
      </c>
    </row>
    <row r="19" spans="1:13" s="424" customFormat="1" ht="23.25" customHeight="1" x14ac:dyDescent="0.25">
      <c r="A19" s="1686">
        <v>9</v>
      </c>
      <c r="B19" s="1687" t="s">
        <v>655</v>
      </c>
      <c r="C19" s="915">
        <f>[2]AT27_Req_FG_CA_Pry!G19</f>
        <v>114242</v>
      </c>
      <c r="D19" s="915">
        <f>'[2]AT-8_Hon_CCH_Pry'!C21</f>
        <v>4687</v>
      </c>
      <c r="E19" s="915">
        <f>'[2]AT-8_Hon_CCH_Pry'!D21</f>
        <v>4540</v>
      </c>
      <c r="F19" s="1088">
        <v>0</v>
      </c>
      <c r="G19" s="915">
        <f>[2]AT27A_Req_FG_CA_UPry!G19+[2]AT27B_Req_FG_CA_NCLP.!C19</f>
        <v>64938</v>
      </c>
      <c r="H19" s="312">
        <f>'[2]AT-8A_Hon_CCH_UPry'!C21</f>
        <v>1941</v>
      </c>
      <c r="I19" s="915">
        <f>'[2]AT-8A_Hon_CCH_UPry'!D21</f>
        <v>1915</v>
      </c>
      <c r="J19" s="970">
        <v>0</v>
      </c>
      <c r="K19" s="915">
        <f t="shared" si="0"/>
        <v>6455</v>
      </c>
      <c r="L19" s="1688">
        <f>469+130</f>
        <v>599</v>
      </c>
      <c r="M19" s="1689">
        <v>248</v>
      </c>
    </row>
    <row r="20" spans="1:13" s="424" customFormat="1" ht="23.25" customHeight="1" x14ac:dyDescent="0.25">
      <c r="A20" s="1686">
        <v>10</v>
      </c>
      <c r="B20" s="1687" t="s">
        <v>656</v>
      </c>
      <c r="C20" s="915">
        <f>[2]AT27_Req_FG_CA_Pry!G20</f>
        <v>153941</v>
      </c>
      <c r="D20" s="915">
        <f>'[2]AT-8_Hon_CCH_Pry'!C22</f>
        <v>6617</v>
      </c>
      <c r="E20" s="915">
        <f>'[2]AT-8_Hon_CCH_Pry'!D22</f>
        <v>5618</v>
      </c>
      <c r="F20" s="1088">
        <v>0</v>
      </c>
      <c r="G20" s="915">
        <f>[2]AT27A_Req_FG_CA_UPry!G20+[2]AT27B_Req_FG_CA_NCLP.!C20</f>
        <v>101966</v>
      </c>
      <c r="H20" s="312">
        <f>'[2]AT-8A_Hon_CCH_UPry'!C22</f>
        <v>2680</v>
      </c>
      <c r="I20" s="915">
        <f>'[2]AT-8A_Hon_CCH_UPry'!D22</f>
        <v>2674</v>
      </c>
      <c r="J20" s="970">
        <v>0</v>
      </c>
      <c r="K20" s="915">
        <f t="shared" si="0"/>
        <v>8292</v>
      </c>
      <c r="L20" s="1688">
        <v>0</v>
      </c>
      <c r="M20" s="1689">
        <v>352</v>
      </c>
    </row>
    <row r="21" spans="1:13" s="424" customFormat="1" ht="23.25" customHeight="1" x14ac:dyDescent="0.25">
      <c r="A21" s="1686">
        <v>11</v>
      </c>
      <c r="B21" s="1687" t="s">
        <v>657</v>
      </c>
      <c r="C21" s="915">
        <f>[2]AT27_Req_FG_CA_Pry!G21</f>
        <v>115208</v>
      </c>
      <c r="D21" s="915">
        <f>'[2]AT-8_Hon_CCH_Pry'!C23</f>
        <v>5280</v>
      </c>
      <c r="E21" s="915">
        <f>'[2]AT-8_Hon_CCH_Pry'!D23</f>
        <v>4272</v>
      </c>
      <c r="F21" s="1088">
        <v>0</v>
      </c>
      <c r="G21" s="915">
        <f>[2]AT27A_Req_FG_CA_UPry!G21+[2]AT27B_Req_FG_CA_NCLP.!C21</f>
        <v>61360</v>
      </c>
      <c r="H21" s="312">
        <f>'[2]AT-8A_Hon_CCH_UPry'!C23</f>
        <v>2118</v>
      </c>
      <c r="I21" s="915">
        <f>'[2]AT-8A_Hon_CCH_UPry'!D23</f>
        <v>2103</v>
      </c>
      <c r="J21" s="970">
        <v>0</v>
      </c>
      <c r="K21" s="915">
        <f t="shared" si="0"/>
        <v>6375</v>
      </c>
      <c r="L21" s="1688">
        <v>1285</v>
      </c>
      <c r="M21" s="1689">
        <v>180</v>
      </c>
    </row>
    <row r="22" spans="1:13" s="424" customFormat="1" ht="23.25" customHeight="1" x14ac:dyDescent="0.25">
      <c r="A22" s="1686">
        <v>12</v>
      </c>
      <c r="B22" s="1687" t="s">
        <v>658</v>
      </c>
      <c r="C22" s="915">
        <f>[2]AT27_Req_FG_CA_Pry!G22</f>
        <v>159500</v>
      </c>
      <c r="D22" s="915">
        <f>'[2]AT-8_Hon_CCH_Pry'!C24</f>
        <v>4927</v>
      </c>
      <c r="E22" s="915">
        <f>'[2]AT-8_Hon_CCH_Pry'!D24</f>
        <v>4660</v>
      </c>
      <c r="F22" s="1088">
        <v>0</v>
      </c>
      <c r="G22" s="915">
        <f>[2]AT27A_Req_FG_CA_UPry!G22+[2]AT27B_Req_FG_CA_NCLP.!C22</f>
        <v>100535</v>
      </c>
      <c r="H22" s="312">
        <f>'[2]AT-8A_Hon_CCH_UPry'!C24</f>
        <v>3104</v>
      </c>
      <c r="I22" s="915">
        <f>'[2]AT-8A_Hon_CCH_UPry'!D24</f>
        <v>2960</v>
      </c>
      <c r="J22" s="970">
        <v>0</v>
      </c>
      <c r="K22" s="915">
        <f t="shared" si="0"/>
        <v>7620</v>
      </c>
      <c r="L22" s="1688">
        <f>287+1182</f>
        <v>1469</v>
      </c>
      <c r="M22" s="1689">
        <v>303</v>
      </c>
    </row>
    <row r="23" spans="1:13" s="424" customFormat="1" ht="23.25" customHeight="1" x14ac:dyDescent="0.25">
      <c r="A23" s="1686">
        <v>13</v>
      </c>
      <c r="B23" s="1687" t="s">
        <v>659</v>
      </c>
      <c r="C23" s="915">
        <f>[2]AT27_Req_FG_CA_Pry!G23</f>
        <v>204224</v>
      </c>
      <c r="D23" s="915">
        <f>'[2]AT-8_Hon_CCH_Pry'!C25</f>
        <v>5399</v>
      </c>
      <c r="E23" s="915">
        <f>'[2]AT-8_Hon_CCH_Pry'!D25</f>
        <v>4740</v>
      </c>
      <c r="F23" s="1088">
        <v>0</v>
      </c>
      <c r="G23" s="915">
        <f>[2]AT27A_Req_FG_CA_UPry!G23+[2]AT27B_Req_FG_CA_NCLP.!C23</f>
        <v>114483</v>
      </c>
      <c r="H23" s="312">
        <f>'[2]AT-8A_Hon_CCH_UPry'!C25</f>
        <v>3240</v>
      </c>
      <c r="I23" s="915">
        <f>'[2]AT-8A_Hon_CCH_UPry'!D25</f>
        <v>3130</v>
      </c>
      <c r="J23" s="970">
        <v>0</v>
      </c>
      <c r="K23" s="915">
        <f t="shared" si="0"/>
        <v>7870</v>
      </c>
      <c r="L23" s="1688">
        <v>0</v>
      </c>
      <c r="M23" s="1689">
        <v>342</v>
      </c>
    </row>
    <row r="24" spans="1:13" s="1693" customFormat="1" ht="23.25" customHeight="1" x14ac:dyDescent="0.25">
      <c r="A24" s="1690" t="s">
        <v>660</v>
      </c>
      <c r="B24" s="1691"/>
      <c r="C24" s="806">
        <f>SUM(C11:C23)</f>
        <v>1795221</v>
      </c>
      <c r="D24" s="806">
        <f>SUM(D11:D23)</f>
        <v>64537</v>
      </c>
      <c r="E24" s="806">
        <f>SUM(E11:E23)</f>
        <v>57807</v>
      </c>
      <c r="F24" s="1692">
        <f t="shared" ref="F24:J24" si="1">SUM(F11:F23)</f>
        <v>0</v>
      </c>
      <c r="G24" s="806">
        <f t="shared" si="1"/>
        <v>1134532</v>
      </c>
      <c r="H24" s="806">
        <f t="shared" si="1"/>
        <v>31080</v>
      </c>
      <c r="I24" s="806">
        <f t="shared" si="1"/>
        <v>30489</v>
      </c>
      <c r="J24" s="1692">
        <f t="shared" si="1"/>
        <v>0</v>
      </c>
      <c r="K24" s="806">
        <f>E24+F24+I24+J24</f>
        <v>88296</v>
      </c>
      <c r="L24" s="1692">
        <f>7858+3009</f>
        <v>10867</v>
      </c>
      <c r="M24" s="1692">
        <f>SUM(M11:M23)</f>
        <v>3415</v>
      </c>
    </row>
    <row r="25" spans="1:13" s="412" customFormat="1" ht="23.25" customHeight="1" x14ac:dyDescent="0.2">
      <c r="B25" s="1694"/>
      <c r="C25" s="1694"/>
      <c r="D25" s="1694"/>
      <c r="E25" s="1694"/>
      <c r="F25" s="1694"/>
      <c r="G25" s="1694"/>
      <c r="H25" s="1694"/>
      <c r="I25" s="1694"/>
      <c r="J25" s="1694"/>
      <c r="K25" s="1694"/>
      <c r="L25" s="1694"/>
      <c r="M25" s="1695"/>
    </row>
    <row r="26" spans="1:13" s="412" customFormat="1" ht="12.75" x14ac:dyDescent="0.2">
      <c r="M26" s="1695"/>
    </row>
    <row r="27" spans="1:13" s="412" customFormat="1" ht="74.25" customHeight="1" x14ac:dyDescent="0.2">
      <c r="A27" s="1084" t="s">
        <v>700</v>
      </c>
      <c r="H27" s="1696"/>
      <c r="I27" s="1697" t="s">
        <v>646</v>
      </c>
      <c r="J27" s="1697"/>
      <c r="K27" s="1697"/>
      <c r="M27" s="1695"/>
    </row>
    <row r="32" spans="1:13" x14ac:dyDescent="0.2">
      <c r="H32" s="1698"/>
    </row>
  </sheetData>
  <mergeCells count="21">
    <mergeCell ref="A24:B24"/>
    <mergeCell ref="B25:L25"/>
    <mergeCell ref="I27:K27"/>
    <mergeCell ref="L7:L9"/>
    <mergeCell ref="M7:M9"/>
    <mergeCell ref="C8:C9"/>
    <mergeCell ref="D8:D9"/>
    <mergeCell ref="E8:F8"/>
    <mergeCell ref="G8:G9"/>
    <mergeCell ref="H8:H9"/>
    <mergeCell ref="I8:J8"/>
    <mergeCell ref="K1:L1"/>
    <mergeCell ref="B2:J2"/>
    <mergeCell ref="B3:J3"/>
    <mergeCell ref="B5:L5"/>
    <mergeCell ref="A6:B6"/>
    <mergeCell ref="A7:A9"/>
    <mergeCell ref="B7:B9"/>
    <mergeCell ref="C7:F7"/>
    <mergeCell ref="G7:J7"/>
    <mergeCell ref="K7:K9"/>
  </mergeCells>
  <printOptions horizontalCentered="1"/>
  <pageMargins left="0.70866141732283472" right="7.874015748031496E-2" top="0.23622047244094491" bottom="0" header="7.874015748031496E-2" footer="7.874015748031496E-2"/>
  <pageSetup paperSize="9" scale="8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Y42"/>
  <sheetViews>
    <sheetView view="pageBreakPreview" zoomScale="60" workbookViewId="0">
      <selection activeCell="AB19" sqref="AB19"/>
    </sheetView>
  </sheetViews>
  <sheetFormatPr defaultColWidth="9.140625" defaultRowHeight="12.75" x14ac:dyDescent="0.2"/>
  <cols>
    <col min="1" max="1" width="5.42578125" style="560" customWidth="1"/>
    <col min="2" max="2" width="22.28515625" style="560" customWidth="1"/>
    <col min="3" max="3" width="8.85546875" style="560" customWidth="1"/>
    <col min="4" max="4" width="9.140625" style="560" customWidth="1"/>
    <col min="5" max="5" width="8.42578125" style="560" customWidth="1"/>
    <col min="6" max="6" width="9.28515625" style="560" customWidth="1"/>
    <col min="7" max="8" width="8.42578125" style="560" customWidth="1"/>
    <col min="9" max="9" width="10.5703125" style="560" customWidth="1"/>
    <col min="10" max="12" width="8.85546875" style="560" customWidth="1"/>
    <col min="13" max="13" width="9.5703125" style="560" customWidth="1"/>
    <col min="14" max="14" width="8.42578125" style="560" customWidth="1"/>
    <col min="15" max="15" width="8.85546875" style="560" customWidth="1"/>
    <col min="16" max="16" width="9.140625" style="560" customWidth="1"/>
    <col min="17" max="17" width="8.42578125" style="560" customWidth="1"/>
    <col min="18" max="18" width="9.5703125" style="560" customWidth="1"/>
    <col min="19" max="20" width="9.140625" style="560" customWidth="1"/>
    <col min="21" max="21" width="10.5703125" style="560" customWidth="1"/>
    <col min="22" max="23" width="9.5703125" style="560" customWidth="1"/>
    <col min="24" max="24" width="9.140625" style="560"/>
    <col min="25" max="25" width="13.28515625" style="560" bestFit="1" customWidth="1"/>
    <col min="26" max="26" width="11.140625" style="560" bestFit="1" customWidth="1"/>
    <col min="27" max="27" width="9.85546875" style="560" bestFit="1" customWidth="1"/>
    <col min="28" max="28" width="12.85546875" style="560" customWidth="1"/>
    <col min="29" max="29" width="12.42578125" style="560" customWidth="1"/>
    <col min="30" max="31" width="9.140625" style="560"/>
    <col min="32" max="37" width="9.5703125" style="560" bestFit="1" customWidth="1"/>
    <col min="38" max="44" width="9.140625" style="560"/>
    <col min="45" max="45" width="9.28515625" style="560" bestFit="1" customWidth="1"/>
    <col min="46" max="16384" width="9.140625" style="560"/>
  </cols>
  <sheetData>
    <row r="1" spans="1:207" ht="15" x14ac:dyDescent="0.2">
      <c r="O1" s="1640" t="s">
        <v>551</v>
      </c>
      <c r="P1" s="1640"/>
      <c r="Q1" s="1640"/>
      <c r="R1" s="1640"/>
      <c r="S1" s="1640"/>
      <c r="T1" s="1640"/>
      <c r="U1" s="1640"/>
    </row>
    <row r="2" spans="1:207" ht="15.75" x14ac:dyDescent="0.25">
      <c r="F2" s="640" t="s">
        <v>0</v>
      </c>
      <c r="G2" s="640"/>
      <c r="H2" s="640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</row>
    <row r="3" spans="1:207" ht="15.75" x14ac:dyDescent="0.25">
      <c r="F3" s="640"/>
      <c r="G3" s="640"/>
      <c r="H3" s="640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</row>
    <row r="4" spans="1:207" ht="18" x14ac:dyDescent="0.25">
      <c r="B4" s="1641" t="s">
        <v>793</v>
      </c>
      <c r="C4" s="1641"/>
      <c r="D4" s="1641"/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1"/>
      <c r="Q4" s="1641"/>
      <c r="R4" s="1641"/>
      <c r="S4" s="1641"/>
      <c r="T4" s="1641"/>
      <c r="U4" s="1641"/>
    </row>
    <row r="5" spans="1:207" x14ac:dyDescent="0.2">
      <c r="AJ5" s="883">
        <f>AJ15</f>
        <v>1219.56</v>
      </c>
    </row>
    <row r="6" spans="1:207" ht="15.75" x14ac:dyDescent="0.25">
      <c r="B6" s="1642" t="s">
        <v>912</v>
      </c>
      <c r="C6" s="1642"/>
      <c r="D6" s="1642"/>
      <c r="E6" s="1642"/>
      <c r="F6" s="1642"/>
      <c r="G6" s="1642"/>
      <c r="H6" s="1642"/>
      <c r="I6" s="1642"/>
      <c r="J6" s="1642"/>
      <c r="K6" s="1642"/>
      <c r="L6" s="1642"/>
      <c r="M6" s="1642"/>
      <c r="N6" s="1642"/>
      <c r="O6" s="1642"/>
      <c r="P6" s="1642"/>
      <c r="Q6" s="1642"/>
      <c r="R6" s="1642"/>
      <c r="S6" s="1642"/>
      <c r="T6" s="1642"/>
      <c r="U6" s="1642"/>
    </row>
    <row r="8" spans="1:207" x14ac:dyDescent="0.2">
      <c r="A8" s="1643" t="s">
        <v>661</v>
      </c>
      <c r="B8" s="1643"/>
      <c r="C8" s="1643"/>
    </row>
    <row r="9" spans="1:207" ht="18" x14ac:dyDescent="0.25">
      <c r="A9" s="642"/>
      <c r="B9" s="642"/>
      <c r="V9" s="1644" t="s">
        <v>237</v>
      </c>
      <c r="W9" s="1644"/>
      <c r="AF9" s="561" t="s">
        <v>913</v>
      </c>
      <c r="AG9" s="561" t="s">
        <v>914</v>
      </c>
    </row>
    <row r="10" spans="1:207" ht="12.75" customHeight="1" x14ac:dyDescent="0.2">
      <c r="A10" s="1645" t="s">
        <v>2</v>
      </c>
      <c r="B10" s="1645" t="s">
        <v>101</v>
      </c>
      <c r="C10" s="1647" t="s">
        <v>18</v>
      </c>
      <c r="D10" s="1648"/>
      <c r="E10" s="1648"/>
      <c r="F10" s="1648"/>
      <c r="G10" s="1648"/>
      <c r="H10" s="1648"/>
      <c r="I10" s="1648"/>
      <c r="J10" s="1648"/>
      <c r="K10" s="1649"/>
      <c r="L10" s="1647" t="s">
        <v>19</v>
      </c>
      <c r="M10" s="1648"/>
      <c r="N10" s="1648"/>
      <c r="O10" s="1648"/>
      <c r="P10" s="1648"/>
      <c r="Q10" s="1648"/>
      <c r="R10" s="1648"/>
      <c r="S10" s="1648"/>
      <c r="T10" s="1649"/>
      <c r="U10" s="1650" t="s">
        <v>129</v>
      </c>
      <c r="V10" s="1651"/>
      <c r="W10" s="1652"/>
      <c r="X10" s="643"/>
      <c r="Y10" s="643"/>
      <c r="Z10" s="643"/>
      <c r="AA10" s="643"/>
      <c r="AB10" s="643"/>
      <c r="AC10" s="643"/>
      <c r="AD10" s="643"/>
      <c r="AE10" s="643"/>
      <c r="AF10" s="560">
        <f>2.48+3.71</f>
        <v>6.1899999999999995</v>
      </c>
      <c r="AG10" s="560">
        <f>4+4.82</f>
        <v>8.82</v>
      </c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  <c r="CJ10" s="643"/>
      <c r="CK10" s="643"/>
      <c r="CL10" s="643"/>
      <c r="CM10" s="643"/>
      <c r="CN10" s="643"/>
      <c r="CO10" s="643"/>
      <c r="CP10" s="643"/>
      <c r="CQ10" s="643"/>
      <c r="CR10" s="643"/>
      <c r="CS10" s="643"/>
      <c r="CT10" s="643"/>
      <c r="CU10" s="643"/>
      <c r="CV10" s="643"/>
      <c r="CW10" s="643"/>
      <c r="CX10" s="643"/>
      <c r="CY10" s="643"/>
      <c r="CZ10" s="643"/>
      <c r="DA10" s="643"/>
      <c r="DB10" s="643"/>
      <c r="DC10" s="643"/>
      <c r="DD10" s="643"/>
      <c r="DE10" s="643"/>
      <c r="DF10" s="643"/>
      <c r="DG10" s="643"/>
      <c r="DH10" s="643"/>
      <c r="DI10" s="643"/>
      <c r="DJ10" s="643"/>
      <c r="DK10" s="643"/>
      <c r="DL10" s="643"/>
      <c r="DM10" s="643"/>
      <c r="DN10" s="643"/>
      <c r="DO10" s="643"/>
      <c r="DP10" s="643"/>
      <c r="DQ10" s="643"/>
      <c r="DR10" s="643"/>
      <c r="DS10" s="643"/>
      <c r="DT10" s="643"/>
      <c r="DU10" s="643"/>
      <c r="DV10" s="643"/>
      <c r="DW10" s="643"/>
      <c r="DX10" s="643"/>
      <c r="DY10" s="643"/>
      <c r="DZ10" s="643"/>
      <c r="EA10" s="643"/>
      <c r="EB10" s="643"/>
      <c r="EC10" s="643"/>
      <c r="ED10" s="643"/>
      <c r="EE10" s="643"/>
      <c r="EF10" s="643"/>
      <c r="EG10" s="643"/>
      <c r="EH10" s="643"/>
      <c r="EI10" s="643"/>
      <c r="EJ10" s="643"/>
      <c r="EK10" s="643"/>
      <c r="EL10" s="643"/>
      <c r="EM10" s="643"/>
      <c r="EN10" s="643"/>
      <c r="EO10" s="643"/>
      <c r="EP10" s="643"/>
      <c r="EQ10" s="643"/>
      <c r="ER10" s="643"/>
      <c r="ES10" s="643"/>
      <c r="ET10" s="643"/>
      <c r="EU10" s="643"/>
      <c r="EV10" s="643"/>
      <c r="EW10" s="643"/>
      <c r="EX10" s="643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3"/>
      <c r="FL10" s="643"/>
      <c r="FM10" s="643"/>
      <c r="FN10" s="643"/>
      <c r="FO10" s="643"/>
      <c r="FP10" s="643"/>
      <c r="FQ10" s="643"/>
      <c r="FR10" s="643"/>
      <c r="FS10" s="643"/>
      <c r="FT10" s="643"/>
      <c r="FU10" s="643"/>
      <c r="FV10" s="643"/>
      <c r="FW10" s="643"/>
      <c r="FX10" s="643"/>
      <c r="FY10" s="643"/>
      <c r="FZ10" s="643"/>
      <c r="GA10" s="643"/>
      <c r="GB10" s="643"/>
      <c r="GC10" s="643"/>
      <c r="GD10" s="643"/>
      <c r="GE10" s="643"/>
      <c r="GF10" s="643"/>
      <c r="GG10" s="643"/>
      <c r="GH10" s="643"/>
      <c r="GI10" s="643"/>
      <c r="GJ10" s="643"/>
      <c r="GK10" s="643"/>
      <c r="GL10" s="643"/>
      <c r="GM10" s="643"/>
      <c r="GN10" s="643"/>
      <c r="GO10" s="643"/>
      <c r="GP10" s="643"/>
      <c r="GQ10" s="643"/>
      <c r="GR10" s="643"/>
      <c r="GS10" s="643"/>
      <c r="GT10" s="643"/>
      <c r="GU10" s="643"/>
      <c r="GV10" s="643"/>
      <c r="GW10" s="643"/>
      <c r="GX10" s="643"/>
      <c r="GY10" s="643"/>
    </row>
    <row r="11" spans="1:207" ht="12.75" customHeight="1" x14ac:dyDescent="0.2">
      <c r="A11" s="1646"/>
      <c r="B11" s="1646"/>
      <c r="C11" s="1637" t="s">
        <v>159</v>
      </c>
      <c r="D11" s="1638"/>
      <c r="E11" s="1639"/>
      <c r="F11" s="1637" t="s">
        <v>160</v>
      </c>
      <c r="G11" s="1638"/>
      <c r="H11" s="1639"/>
      <c r="I11" s="1637" t="s">
        <v>13</v>
      </c>
      <c r="J11" s="1638"/>
      <c r="K11" s="1639"/>
      <c r="L11" s="1637" t="s">
        <v>159</v>
      </c>
      <c r="M11" s="1638"/>
      <c r="N11" s="1639"/>
      <c r="O11" s="1637" t="s">
        <v>160</v>
      </c>
      <c r="P11" s="1638"/>
      <c r="Q11" s="1639"/>
      <c r="R11" s="1637" t="s">
        <v>13</v>
      </c>
      <c r="S11" s="1638"/>
      <c r="T11" s="1639"/>
      <c r="U11" s="1653"/>
      <c r="V11" s="1654"/>
      <c r="W11" s="1655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43"/>
      <c r="CC11" s="643"/>
      <c r="CD11" s="643"/>
      <c r="CE11" s="643"/>
      <c r="CF11" s="643"/>
      <c r="CG11" s="643"/>
      <c r="CH11" s="643"/>
      <c r="CI11" s="643"/>
      <c r="CJ11" s="643"/>
      <c r="CK11" s="643"/>
      <c r="CL11" s="643"/>
      <c r="CM11" s="643"/>
      <c r="CN11" s="643"/>
      <c r="CO11" s="643"/>
      <c r="CP11" s="643"/>
      <c r="CQ11" s="643"/>
      <c r="CR11" s="643"/>
      <c r="CS11" s="643"/>
      <c r="CT11" s="643"/>
      <c r="CU11" s="643"/>
      <c r="CV11" s="643"/>
      <c r="CW11" s="643"/>
      <c r="CX11" s="643"/>
      <c r="CY11" s="643"/>
      <c r="CZ11" s="643"/>
      <c r="DA11" s="643"/>
      <c r="DB11" s="643"/>
      <c r="DC11" s="643"/>
      <c r="DD11" s="643"/>
      <c r="DE11" s="643"/>
      <c r="DF11" s="643"/>
      <c r="DG11" s="643"/>
      <c r="DH11" s="643"/>
      <c r="DI11" s="643"/>
      <c r="DJ11" s="643"/>
      <c r="DK11" s="643"/>
      <c r="DL11" s="643"/>
      <c r="DM11" s="643"/>
      <c r="DN11" s="643"/>
      <c r="DO11" s="643"/>
      <c r="DP11" s="643"/>
      <c r="DQ11" s="643"/>
      <c r="DR11" s="643"/>
      <c r="DS11" s="643"/>
      <c r="DT11" s="643"/>
      <c r="DU11" s="643"/>
      <c r="DV11" s="643"/>
      <c r="DW11" s="643"/>
      <c r="DX11" s="643"/>
      <c r="DY11" s="643"/>
      <c r="DZ11" s="643"/>
      <c r="EA11" s="643"/>
      <c r="EB11" s="643"/>
      <c r="EC11" s="643"/>
      <c r="ED11" s="643"/>
      <c r="EE11" s="643"/>
      <c r="EF11" s="643"/>
      <c r="EG11" s="643"/>
      <c r="EH11" s="643"/>
      <c r="EI11" s="643"/>
      <c r="EJ11" s="643"/>
      <c r="EK11" s="643"/>
      <c r="EL11" s="643"/>
      <c r="EM11" s="643"/>
      <c r="EN11" s="643"/>
      <c r="EO11" s="643"/>
      <c r="EP11" s="643"/>
      <c r="EQ11" s="643"/>
      <c r="ER11" s="643"/>
      <c r="ES11" s="643"/>
      <c r="ET11" s="643"/>
      <c r="EU11" s="643"/>
      <c r="EV11" s="643"/>
      <c r="EW11" s="643"/>
      <c r="EX11" s="643"/>
      <c r="EY11" s="643"/>
      <c r="EZ11" s="643"/>
      <c r="FA11" s="643"/>
      <c r="FB11" s="643"/>
      <c r="FC11" s="643"/>
      <c r="FD11" s="643"/>
      <c r="FE11" s="643"/>
      <c r="FF11" s="643"/>
      <c r="FG11" s="643"/>
      <c r="FH11" s="643"/>
      <c r="FI11" s="643"/>
      <c r="FJ11" s="643"/>
      <c r="FK11" s="643"/>
      <c r="FL11" s="643"/>
      <c r="FM11" s="643"/>
      <c r="FN11" s="643"/>
      <c r="FO11" s="643"/>
      <c r="FP11" s="643"/>
      <c r="FQ11" s="643"/>
      <c r="FR11" s="643"/>
      <c r="FS11" s="643"/>
      <c r="FT11" s="643"/>
      <c r="FU11" s="643"/>
      <c r="FV11" s="643"/>
      <c r="FW11" s="643"/>
      <c r="FX11" s="643"/>
      <c r="FY11" s="643"/>
      <c r="FZ11" s="643"/>
      <c r="GA11" s="643"/>
      <c r="GB11" s="643"/>
      <c r="GC11" s="643"/>
      <c r="GD11" s="643"/>
      <c r="GE11" s="643"/>
      <c r="GF11" s="643"/>
      <c r="GG11" s="643"/>
      <c r="GH11" s="643"/>
      <c r="GI11" s="643"/>
      <c r="GJ11" s="643"/>
      <c r="GK11" s="643"/>
      <c r="GL11" s="643"/>
      <c r="GM11" s="643"/>
      <c r="GN11" s="643"/>
      <c r="GO11" s="643"/>
      <c r="GP11" s="643"/>
      <c r="GQ11" s="643"/>
      <c r="GR11" s="643"/>
      <c r="GS11" s="643"/>
      <c r="GT11" s="643"/>
      <c r="GU11" s="643"/>
      <c r="GV11" s="643"/>
      <c r="GW11" s="643"/>
      <c r="GX11" s="643"/>
      <c r="GY11" s="643"/>
    </row>
    <row r="12" spans="1:207" ht="21" customHeight="1" x14ac:dyDescent="0.2">
      <c r="A12" s="565"/>
      <c r="B12" s="565"/>
      <c r="C12" s="1046" t="s">
        <v>238</v>
      </c>
      <c r="D12" s="1047" t="s">
        <v>35</v>
      </c>
      <c r="E12" s="1048" t="s">
        <v>36</v>
      </c>
      <c r="F12" s="1046" t="s">
        <v>238</v>
      </c>
      <c r="G12" s="1047" t="s">
        <v>35</v>
      </c>
      <c r="H12" s="1048" t="s">
        <v>36</v>
      </c>
      <c r="I12" s="1046" t="s">
        <v>238</v>
      </c>
      <c r="J12" s="1047" t="s">
        <v>35</v>
      </c>
      <c r="K12" s="1048" t="s">
        <v>36</v>
      </c>
      <c r="L12" s="1046" t="s">
        <v>238</v>
      </c>
      <c r="M12" s="1047" t="s">
        <v>35</v>
      </c>
      <c r="N12" s="1048" t="s">
        <v>36</v>
      </c>
      <c r="O12" s="1046" t="s">
        <v>238</v>
      </c>
      <c r="P12" s="1047" t="s">
        <v>35</v>
      </c>
      <c r="Q12" s="1048" t="s">
        <v>36</v>
      </c>
      <c r="R12" s="1046" t="s">
        <v>238</v>
      </c>
      <c r="S12" s="1047" t="s">
        <v>35</v>
      </c>
      <c r="T12" s="1048" t="s">
        <v>36</v>
      </c>
      <c r="U12" s="565" t="s">
        <v>238</v>
      </c>
      <c r="V12" s="565" t="s">
        <v>35</v>
      </c>
      <c r="W12" s="565" t="s">
        <v>36</v>
      </c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  <c r="AU12" s="643"/>
      <c r="AV12" s="643"/>
      <c r="AW12" s="643"/>
      <c r="AX12" s="643"/>
      <c r="AY12" s="643"/>
      <c r="AZ12" s="643"/>
      <c r="BA12" s="643"/>
      <c r="BB12" s="643"/>
      <c r="BC12" s="643"/>
      <c r="BD12" s="643"/>
      <c r="BE12" s="643"/>
      <c r="BF12" s="643"/>
      <c r="BG12" s="643"/>
      <c r="BH12" s="643"/>
      <c r="BI12" s="643"/>
      <c r="BJ12" s="643"/>
      <c r="BK12" s="643"/>
      <c r="BL12" s="643"/>
      <c r="BM12" s="643"/>
      <c r="BN12" s="643"/>
      <c r="BO12" s="643"/>
      <c r="BP12" s="643"/>
      <c r="BQ12" s="643"/>
      <c r="BR12" s="643"/>
      <c r="BS12" s="643"/>
      <c r="BT12" s="643"/>
      <c r="BU12" s="643"/>
      <c r="BV12" s="643"/>
      <c r="BW12" s="643"/>
      <c r="BX12" s="643"/>
      <c r="BY12" s="643"/>
      <c r="BZ12" s="643"/>
      <c r="CA12" s="643"/>
      <c r="CB12" s="643"/>
      <c r="CC12" s="643"/>
      <c r="CD12" s="643"/>
      <c r="CE12" s="643"/>
      <c r="CF12" s="643"/>
      <c r="CG12" s="643"/>
      <c r="CH12" s="643"/>
      <c r="CI12" s="643"/>
      <c r="CJ12" s="643"/>
      <c r="CK12" s="643"/>
      <c r="CL12" s="643"/>
      <c r="CM12" s="643"/>
      <c r="CN12" s="643"/>
      <c r="CO12" s="643"/>
      <c r="CP12" s="643"/>
      <c r="CQ12" s="643"/>
      <c r="CR12" s="643"/>
      <c r="CS12" s="643"/>
      <c r="CT12" s="643"/>
      <c r="CU12" s="643"/>
      <c r="CV12" s="643"/>
      <c r="CW12" s="643"/>
      <c r="CX12" s="643"/>
      <c r="CY12" s="643"/>
      <c r="CZ12" s="643"/>
      <c r="DA12" s="643"/>
      <c r="DB12" s="643"/>
      <c r="DC12" s="643"/>
      <c r="DD12" s="643"/>
      <c r="DE12" s="643"/>
      <c r="DF12" s="643"/>
      <c r="DG12" s="643"/>
      <c r="DH12" s="643"/>
      <c r="DI12" s="643"/>
      <c r="DJ12" s="643"/>
      <c r="DK12" s="643"/>
      <c r="DL12" s="643"/>
      <c r="DM12" s="643"/>
      <c r="DN12" s="643"/>
      <c r="DO12" s="643"/>
      <c r="DP12" s="643"/>
      <c r="DQ12" s="643"/>
      <c r="DR12" s="643"/>
      <c r="DS12" s="643"/>
      <c r="DT12" s="643"/>
      <c r="DU12" s="643"/>
      <c r="DV12" s="643"/>
      <c r="DW12" s="643"/>
      <c r="DX12" s="643"/>
      <c r="DY12" s="643"/>
      <c r="DZ12" s="643"/>
      <c r="EA12" s="643"/>
      <c r="EB12" s="643"/>
      <c r="EC12" s="643"/>
      <c r="ED12" s="643"/>
      <c r="EE12" s="643"/>
      <c r="EF12" s="643"/>
      <c r="EG12" s="643"/>
      <c r="EH12" s="643"/>
      <c r="EI12" s="643"/>
      <c r="EJ12" s="643"/>
      <c r="EK12" s="643"/>
      <c r="EL12" s="643"/>
      <c r="EM12" s="643"/>
      <c r="EN12" s="643"/>
      <c r="EO12" s="643"/>
      <c r="EP12" s="643"/>
      <c r="EQ12" s="643"/>
      <c r="ER12" s="643"/>
      <c r="ES12" s="643"/>
      <c r="ET12" s="643"/>
      <c r="EU12" s="643"/>
      <c r="EV12" s="643"/>
      <c r="EW12" s="643"/>
      <c r="EX12" s="643"/>
      <c r="EY12" s="643"/>
      <c r="EZ12" s="643"/>
      <c r="FA12" s="643"/>
      <c r="FB12" s="643"/>
      <c r="FC12" s="643"/>
      <c r="FD12" s="643"/>
      <c r="FE12" s="643"/>
      <c r="FF12" s="643"/>
      <c r="FG12" s="643"/>
      <c r="FH12" s="643"/>
      <c r="FI12" s="643"/>
      <c r="FJ12" s="643"/>
      <c r="FK12" s="643"/>
      <c r="FL12" s="643"/>
      <c r="FM12" s="643"/>
      <c r="FN12" s="643"/>
      <c r="FO12" s="643"/>
      <c r="FP12" s="643"/>
      <c r="FQ12" s="643"/>
      <c r="FR12" s="643"/>
      <c r="FS12" s="643"/>
      <c r="FT12" s="643"/>
      <c r="FU12" s="643"/>
      <c r="FV12" s="643"/>
      <c r="FW12" s="643"/>
      <c r="FX12" s="643"/>
      <c r="FY12" s="643"/>
      <c r="FZ12" s="643"/>
      <c r="GA12" s="643"/>
      <c r="GB12" s="643"/>
      <c r="GC12" s="643"/>
      <c r="GD12" s="643"/>
      <c r="GE12" s="643"/>
      <c r="GF12" s="643"/>
      <c r="GG12" s="643"/>
      <c r="GH12" s="643"/>
      <c r="GI12" s="643"/>
      <c r="GJ12" s="643"/>
      <c r="GK12" s="643"/>
      <c r="GL12" s="643"/>
      <c r="GM12" s="643"/>
      <c r="GN12" s="643"/>
      <c r="GO12" s="643"/>
      <c r="GP12" s="643"/>
      <c r="GQ12" s="643"/>
      <c r="GR12" s="643"/>
      <c r="GS12" s="643"/>
      <c r="GT12" s="643"/>
      <c r="GU12" s="643"/>
      <c r="GV12" s="643"/>
      <c r="GW12" s="643"/>
      <c r="GX12" s="643"/>
      <c r="GY12" s="643"/>
    </row>
    <row r="13" spans="1:207" ht="12.75" customHeight="1" x14ac:dyDescent="0.2">
      <c r="A13" s="565">
        <v>1</v>
      </c>
      <c r="B13" s="565">
        <v>2</v>
      </c>
      <c r="C13" s="565">
        <v>3</v>
      </c>
      <c r="D13" s="565">
        <v>4</v>
      </c>
      <c r="E13" s="565">
        <v>5</v>
      </c>
      <c r="F13" s="565">
        <v>7</v>
      </c>
      <c r="G13" s="565">
        <v>8</v>
      </c>
      <c r="H13" s="565">
        <v>9</v>
      </c>
      <c r="I13" s="565">
        <v>11</v>
      </c>
      <c r="J13" s="565">
        <v>12</v>
      </c>
      <c r="K13" s="565">
        <v>13</v>
      </c>
      <c r="L13" s="565">
        <v>15</v>
      </c>
      <c r="M13" s="565">
        <v>16</v>
      </c>
      <c r="N13" s="565">
        <v>17</v>
      </c>
      <c r="O13" s="565">
        <v>19</v>
      </c>
      <c r="P13" s="565">
        <v>20</v>
      </c>
      <c r="Q13" s="565">
        <v>21</v>
      </c>
      <c r="R13" s="565">
        <v>23</v>
      </c>
      <c r="S13" s="565">
        <v>24</v>
      </c>
      <c r="T13" s="565">
        <v>25</v>
      </c>
      <c r="U13" s="565">
        <v>27</v>
      </c>
      <c r="V13" s="565">
        <v>28</v>
      </c>
      <c r="W13" s="565">
        <v>29</v>
      </c>
      <c r="X13" s="561"/>
      <c r="Y13" s="561" t="s">
        <v>18</v>
      </c>
      <c r="Z13" s="561"/>
      <c r="AA13" s="561"/>
      <c r="AB13" s="561"/>
      <c r="AC13" s="561"/>
      <c r="AD13" s="561">
        <f>X15*220*0.0001</f>
        <v>39494.862000000001</v>
      </c>
      <c r="AE13" s="561"/>
      <c r="AF13" s="561" t="s">
        <v>915</v>
      </c>
      <c r="AG13" s="561"/>
      <c r="AH13" s="561"/>
      <c r="AI13" s="561"/>
      <c r="AJ13" s="561"/>
      <c r="AK13" s="561">
        <f>AE15*220*0.00015</f>
        <v>37309.040999999997</v>
      </c>
      <c r="AL13" s="561"/>
      <c r="AM13" s="561"/>
      <c r="AN13" s="561" t="s">
        <v>917</v>
      </c>
      <c r="AO13" s="561"/>
      <c r="AP13" s="561"/>
      <c r="AQ13" s="561"/>
      <c r="AR13" s="561"/>
      <c r="AS13" s="561">
        <f>AM15*302*0.00015</f>
        <v>179.16149999999999</v>
      </c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/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1"/>
      <c r="DG13" s="561"/>
      <c r="DH13" s="561"/>
      <c r="DI13" s="561"/>
      <c r="DJ13" s="561"/>
      <c r="DK13" s="561"/>
      <c r="DL13" s="561"/>
      <c r="DM13" s="561"/>
      <c r="DN13" s="561"/>
      <c r="DO13" s="561"/>
      <c r="DP13" s="561"/>
      <c r="DQ13" s="561"/>
      <c r="DR13" s="561"/>
      <c r="DS13" s="561"/>
      <c r="DT13" s="561"/>
      <c r="DU13" s="561"/>
      <c r="DV13" s="561"/>
      <c r="DW13" s="561"/>
      <c r="DX13" s="561"/>
      <c r="DY13" s="561"/>
      <c r="DZ13" s="561"/>
      <c r="EA13" s="561"/>
      <c r="EB13" s="561"/>
      <c r="EC13" s="561"/>
      <c r="ED13" s="561"/>
      <c r="EE13" s="561"/>
      <c r="EF13" s="561"/>
      <c r="EG13" s="561"/>
      <c r="EH13" s="561"/>
      <c r="EI13" s="561"/>
      <c r="EJ13" s="561"/>
      <c r="EK13" s="561"/>
      <c r="EL13" s="561"/>
      <c r="EM13" s="561"/>
      <c r="EN13" s="561"/>
      <c r="EO13" s="561"/>
      <c r="EP13" s="561"/>
      <c r="EQ13" s="561"/>
      <c r="ER13" s="561"/>
      <c r="ES13" s="561"/>
      <c r="ET13" s="561"/>
      <c r="EU13" s="561"/>
      <c r="EV13" s="561"/>
      <c r="EW13" s="561"/>
      <c r="EX13" s="561"/>
      <c r="EY13" s="561"/>
      <c r="EZ13" s="561"/>
      <c r="FA13" s="561"/>
      <c r="FB13" s="561"/>
      <c r="FC13" s="561"/>
      <c r="FD13" s="561"/>
      <c r="FE13" s="561"/>
      <c r="FF13" s="561"/>
      <c r="FG13" s="561"/>
      <c r="FH13" s="561"/>
      <c r="FI13" s="561"/>
      <c r="FJ13" s="561"/>
      <c r="FK13" s="561"/>
      <c r="FL13" s="561"/>
      <c r="FM13" s="561"/>
      <c r="FN13" s="561"/>
      <c r="FO13" s="561"/>
      <c r="FP13" s="561"/>
      <c r="FQ13" s="561"/>
      <c r="FR13" s="561"/>
      <c r="FS13" s="561"/>
      <c r="FT13" s="561"/>
      <c r="FU13" s="561"/>
      <c r="FV13" s="561"/>
      <c r="FW13" s="561"/>
      <c r="FX13" s="561"/>
      <c r="FY13" s="561"/>
      <c r="FZ13" s="561"/>
      <c r="GA13" s="561"/>
      <c r="GB13" s="561"/>
      <c r="GC13" s="561"/>
      <c r="GD13" s="561"/>
      <c r="GE13" s="561"/>
      <c r="GF13" s="561"/>
      <c r="GG13" s="561"/>
      <c r="GH13" s="561"/>
      <c r="GI13" s="561"/>
      <c r="GJ13" s="561"/>
      <c r="GK13" s="561"/>
      <c r="GL13" s="561"/>
      <c r="GM13" s="561"/>
      <c r="GN13" s="561"/>
      <c r="GO13" s="561"/>
      <c r="GP13" s="561"/>
      <c r="GQ13" s="561"/>
      <c r="GR13" s="561"/>
      <c r="GS13" s="561"/>
      <c r="GT13" s="561"/>
      <c r="GU13" s="561"/>
      <c r="GV13" s="561"/>
      <c r="GW13" s="561"/>
      <c r="GX13" s="561"/>
      <c r="GY13" s="561"/>
    </row>
    <row r="14" spans="1:207" ht="30" customHeight="1" x14ac:dyDescent="0.2">
      <c r="A14" s="1635" t="s">
        <v>230</v>
      </c>
      <c r="B14" s="1636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3"/>
      <c r="V14" s="563"/>
      <c r="W14" s="563"/>
      <c r="X14" s="560" t="s">
        <v>916</v>
      </c>
      <c r="Y14" s="872" t="s">
        <v>906</v>
      </c>
      <c r="Z14" s="872" t="s">
        <v>907</v>
      </c>
      <c r="AA14" s="872" t="s">
        <v>908</v>
      </c>
      <c r="AB14" s="872" t="s">
        <v>909</v>
      </c>
      <c r="AC14" s="872" t="s">
        <v>910</v>
      </c>
      <c r="AD14" s="872" t="s">
        <v>911</v>
      </c>
      <c r="AE14" s="560" t="s">
        <v>916</v>
      </c>
      <c r="AF14" s="872" t="s">
        <v>906</v>
      </c>
      <c r="AG14" s="872" t="s">
        <v>907</v>
      </c>
      <c r="AH14" s="872" t="s">
        <v>908</v>
      </c>
      <c r="AI14" s="872" t="s">
        <v>909</v>
      </c>
      <c r="AJ14" s="872" t="s">
        <v>910</v>
      </c>
      <c r="AK14" s="872" t="s">
        <v>911</v>
      </c>
      <c r="AL14" s="561"/>
      <c r="AM14" s="560" t="s">
        <v>916</v>
      </c>
      <c r="AN14" s="872" t="s">
        <v>906</v>
      </c>
      <c r="AO14" s="872" t="s">
        <v>907</v>
      </c>
      <c r="AP14" s="872" t="s">
        <v>908</v>
      </c>
      <c r="AQ14" s="872" t="s">
        <v>909</v>
      </c>
      <c r="AR14" s="872" t="s">
        <v>910</v>
      </c>
      <c r="AS14" s="872" t="s">
        <v>911</v>
      </c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  <c r="BM14" s="561"/>
      <c r="BN14" s="561"/>
      <c r="BO14" s="561"/>
      <c r="BP14" s="561"/>
      <c r="BQ14" s="561"/>
      <c r="BR14" s="561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61"/>
      <c r="CM14" s="561"/>
      <c r="CN14" s="561"/>
      <c r="CO14" s="561"/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1"/>
      <c r="DD14" s="561"/>
      <c r="DE14" s="561"/>
      <c r="DF14" s="561"/>
      <c r="DG14" s="561"/>
      <c r="DH14" s="561"/>
      <c r="DI14" s="561"/>
      <c r="DJ14" s="561"/>
      <c r="DK14" s="561"/>
      <c r="DL14" s="561"/>
      <c r="DM14" s="561"/>
      <c r="DN14" s="561"/>
      <c r="DO14" s="561"/>
      <c r="DP14" s="561"/>
      <c r="DQ14" s="561"/>
      <c r="DR14" s="561"/>
      <c r="DS14" s="561"/>
      <c r="DT14" s="561"/>
      <c r="DU14" s="561"/>
      <c r="DV14" s="561"/>
      <c r="DW14" s="561"/>
      <c r="DX14" s="561"/>
      <c r="DY14" s="561"/>
      <c r="DZ14" s="561"/>
      <c r="EA14" s="561"/>
      <c r="EB14" s="561"/>
      <c r="EC14" s="561"/>
      <c r="ED14" s="561"/>
      <c r="EE14" s="561"/>
      <c r="EF14" s="561"/>
      <c r="EG14" s="561"/>
      <c r="EH14" s="561"/>
      <c r="EI14" s="561"/>
      <c r="EJ14" s="561"/>
      <c r="EK14" s="561"/>
      <c r="EL14" s="561"/>
      <c r="EM14" s="561"/>
      <c r="EN14" s="561"/>
      <c r="EO14" s="561"/>
      <c r="EP14" s="561"/>
      <c r="EQ14" s="561"/>
      <c r="ER14" s="561"/>
      <c r="ES14" s="561"/>
      <c r="ET14" s="561"/>
      <c r="EU14" s="561"/>
      <c r="EV14" s="561"/>
      <c r="EW14" s="561"/>
      <c r="EX14" s="561"/>
      <c r="EY14" s="561"/>
      <c r="EZ14" s="561"/>
      <c r="FA14" s="561"/>
      <c r="FB14" s="561"/>
      <c r="FC14" s="561"/>
      <c r="FD14" s="561"/>
      <c r="FE14" s="561"/>
      <c r="FF14" s="561"/>
      <c r="FG14" s="561"/>
      <c r="FH14" s="561"/>
      <c r="FI14" s="561"/>
      <c r="FJ14" s="561"/>
      <c r="FK14" s="561"/>
      <c r="FL14" s="561"/>
      <c r="FM14" s="561"/>
      <c r="FN14" s="561"/>
      <c r="FO14" s="561"/>
      <c r="FP14" s="561"/>
      <c r="FQ14" s="561"/>
      <c r="FR14" s="561"/>
      <c r="FS14" s="561"/>
      <c r="FT14" s="561"/>
      <c r="FU14" s="561"/>
      <c r="FV14" s="561"/>
      <c r="FW14" s="561"/>
      <c r="FX14" s="561"/>
      <c r="FY14" s="561"/>
      <c r="FZ14" s="561"/>
      <c r="GA14" s="561"/>
      <c r="GB14" s="561"/>
      <c r="GC14" s="561"/>
      <c r="GD14" s="561"/>
      <c r="GE14" s="561"/>
      <c r="GF14" s="561"/>
      <c r="GG14" s="561"/>
      <c r="GH14" s="561"/>
      <c r="GI14" s="561"/>
      <c r="GJ14" s="561"/>
      <c r="GK14" s="561"/>
      <c r="GL14" s="561"/>
      <c r="GM14" s="561"/>
      <c r="GN14" s="561"/>
      <c r="GO14" s="561"/>
      <c r="GP14" s="561"/>
      <c r="GQ14" s="561"/>
      <c r="GR14" s="561"/>
      <c r="GS14" s="561"/>
      <c r="GT14" s="561"/>
      <c r="GU14" s="561"/>
      <c r="GV14" s="561"/>
      <c r="GW14" s="561"/>
      <c r="GX14" s="561"/>
      <c r="GY14" s="561"/>
    </row>
    <row r="15" spans="1:207" ht="36" customHeight="1" x14ac:dyDescent="0.2">
      <c r="A15" s="644">
        <v>1</v>
      </c>
      <c r="B15" s="645" t="s">
        <v>114</v>
      </c>
      <c r="C15" s="563">
        <f>Y15*71.46%</f>
        <v>855.15776007155989</v>
      </c>
      <c r="D15" s="563">
        <f>Y15*18.75%</f>
        <v>224.38018473750003</v>
      </c>
      <c r="E15" s="563">
        <f>Y15*9.79%</f>
        <v>117.15637379093999</v>
      </c>
      <c r="F15" s="563">
        <v>0</v>
      </c>
      <c r="G15" s="563">
        <v>0</v>
      </c>
      <c r="H15" s="563">
        <v>0</v>
      </c>
      <c r="I15" s="562">
        <f>C15+F15</f>
        <v>855.15776007155989</v>
      </c>
      <c r="J15" s="562">
        <f t="shared" ref="J15" si="0">D15+G15</f>
        <v>224.38018473750003</v>
      </c>
      <c r="K15" s="562">
        <f>E15+H15</f>
        <v>117.15637379093999</v>
      </c>
      <c r="L15" s="563">
        <f>(AF15+AN15)*71.46%</f>
        <v>811.70880604694992</v>
      </c>
      <c r="M15" s="563">
        <f>(AF15+AN15)*18.75%</f>
        <v>212.97985045312498</v>
      </c>
      <c r="N15" s="563">
        <f>(AF15+AN15)*9.79%</f>
        <v>111.20387924992498</v>
      </c>
      <c r="O15" s="563">
        <v>0</v>
      </c>
      <c r="P15" s="563">
        <v>0</v>
      </c>
      <c r="Q15" s="563">
        <v>0</v>
      </c>
      <c r="R15" s="562">
        <f t="shared" ref="R15:T18" si="1">L15+O15</f>
        <v>811.70880604694992</v>
      </c>
      <c r="S15" s="562">
        <f t="shared" si="1"/>
        <v>212.97985045312498</v>
      </c>
      <c r="T15" s="562">
        <f t="shared" si="1"/>
        <v>111.20387924992498</v>
      </c>
      <c r="U15" s="563">
        <f>I15+R15</f>
        <v>1666.8665661185098</v>
      </c>
      <c r="V15" s="563">
        <f t="shared" ref="V15:W19" si="2">J15+S15</f>
        <v>437.36003519062501</v>
      </c>
      <c r="W15" s="563">
        <f t="shared" si="2"/>
        <v>228.36025304086496</v>
      </c>
      <c r="X15" s="883">
        <f>[1]AT27_Req_FG_CA_Pry!G24</f>
        <v>1795221</v>
      </c>
      <c r="Y15" s="874">
        <f>(X15*220*0.0001)*3030/100000</f>
        <v>1196.6943186000001</v>
      </c>
      <c r="Z15" s="874">
        <f>(AF31*220*X15)/100000</f>
        <v>9794.7257760000011</v>
      </c>
      <c r="AA15" s="873">
        <f>(AG31*220*X15)/100000</f>
        <v>15797.944799999999</v>
      </c>
      <c r="AB15" s="876">
        <f>('[1]AT-30_Coook-cum-Helper'!O24*600*10)/100000</f>
        <v>3468.42</v>
      </c>
      <c r="AC15" s="895">
        <f>('[1]AT-30_Coook-cum-Helper'!O24*400*10)/100000</f>
        <v>2312.2800000000002</v>
      </c>
      <c r="AD15" s="873">
        <f>AD13*750/100000</f>
        <v>296.21146499999998</v>
      </c>
      <c r="AE15" s="883">
        <f>[1]AT27A_Req_FG_CA_UPry!G24</f>
        <v>1130577</v>
      </c>
      <c r="AF15" s="874">
        <f>(AE15*220*0.00015)*3030/100000</f>
        <v>1130.4639422999999</v>
      </c>
      <c r="AG15" s="874">
        <f>(AI31*220*AE15)/100000</f>
        <v>9227.7694740000006</v>
      </c>
      <c r="AH15" s="873">
        <f>(AJ31*220*AE15)/100000</f>
        <v>11988.638508000002</v>
      </c>
      <c r="AI15" s="876">
        <f>('[1]AT-30_Coook-cum-Helper'!P24*600*10)/100000</f>
        <v>1829.34</v>
      </c>
      <c r="AJ15" s="895">
        <f>('[1]AT-30_Coook-cum-Helper'!P24*400*10)/100000</f>
        <v>1219.56</v>
      </c>
      <c r="AK15" s="873">
        <f>AK13*750/100000</f>
        <v>279.81780749999996</v>
      </c>
      <c r="AM15" s="883">
        <f>[1]AT27B_Req_FG_CA_NCLP.!C24</f>
        <v>3955</v>
      </c>
      <c r="AN15" s="874">
        <f>(AM15*302*0.00015)*3030/100000</f>
        <v>5.4285934500000002</v>
      </c>
      <c r="AO15" s="874">
        <f>(AI31*302*AM15)/100000</f>
        <v>44.312611000000004</v>
      </c>
      <c r="AP15" s="874">
        <f>(AJ31*302*AM15)/100000</f>
        <v>57.570562000000002</v>
      </c>
      <c r="AQ15" s="885"/>
      <c r="AR15" s="886" t="s">
        <v>8</v>
      </c>
      <c r="AS15" s="885">
        <f>AS13*750/100000</f>
        <v>1.3437112499999999</v>
      </c>
    </row>
    <row r="16" spans="1:207" ht="36" customHeight="1" x14ac:dyDescent="0.2">
      <c r="A16" s="644">
        <v>2</v>
      </c>
      <c r="B16" s="646" t="s">
        <v>462</v>
      </c>
      <c r="C16" s="563">
        <f>Z15*71.46%</f>
        <v>6999.3110395295998</v>
      </c>
      <c r="D16" s="563">
        <f>Z15*18.75%</f>
        <v>1836.5110830000003</v>
      </c>
      <c r="E16" s="563">
        <f>Z15*9.79%</f>
        <v>958.90365347039995</v>
      </c>
      <c r="F16" s="563">
        <f>AA15*71.46%</f>
        <v>11289.211354079998</v>
      </c>
      <c r="G16" s="563">
        <f>AA15*18.75%</f>
        <v>2962.11465</v>
      </c>
      <c r="H16" s="563">
        <f>AA15*9.79%</f>
        <v>1546.6187959199997</v>
      </c>
      <c r="I16" s="562">
        <f>C16+F16</f>
        <v>18288.522393609597</v>
      </c>
      <c r="J16" s="562">
        <f>D16+G16</f>
        <v>4798.6257330000008</v>
      </c>
      <c r="K16" s="562">
        <f>E16+H16</f>
        <v>2505.5224493903997</v>
      </c>
      <c r="L16" s="563">
        <f>(AG15+AO15)*71.46%</f>
        <v>6625.8298579409993</v>
      </c>
      <c r="M16" s="563">
        <f>(AG15+AO15)*18.75%</f>
        <v>1738.5153909374999</v>
      </c>
      <c r="N16" s="563">
        <f>(AG15+AO15)*9.79%</f>
        <v>907.73683612149989</v>
      </c>
      <c r="O16" s="563">
        <f>(AH15+AP15)*71.46%</f>
        <v>8608.221001422</v>
      </c>
      <c r="P16" s="563">
        <f>(AH15+AP15)*18.75%</f>
        <v>2258.6642006250004</v>
      </c>
      <c r="Q16" s="563">
        <f>(AH15+AP15)*9.79%</f>
        <v>1179.323867953</v>
      </c>
      <c r="R16" s="562">
        <f t="shared" si="1"/>
        <v>15234.050859363</v>
      </c>
      <c r="S16" s="562">
        <f t="shared" si="1"/>
        <v>3997.1795915625003</v>
      </c>
      <c r="T16" s="562">
        <f>N16+Q16</f>
        <v>2087.0607040744999</v>
      </c>
      <c r="U16" s="563">
        <f>I16+R16</f>
        <v>33522.573252972594</v>
      </c>
      <c r="V16" s="563">
        <f t="shared" si="2"/>
        <v>8795.8053245625015</v>
      </c>
      <c r="W16" s="563">
        <f t="shared" si="2"/>
        <v>4592.5831534648996</v>
      </c>
      <c r="Y16" s="888"/>
      <c r="Z16" s="888"/>
      <c r="AA16" s="888"/>
      <c r="AB16" s="889"/>
      <c r="AC16" s="890"/>
      <c r="AD16" s="888"/>
      <c r="AF16" s="888"/>
      <c r="AG16" s="888"/>
      <c r="AH16" s="888"/>
      <c r="AI16" s="889"/>
      <c r="AJ16" s="890"/>
      <c r="AK16" s="888"/>
      <c r="AN16" s="874"/>
      <c r="AO16" s="885"/>
      <c r="AP16" s="885"/>
      <c r="AQ16" s="885"/>
      <c r="AR16" s="886"/>
      <c r="AS16" s="885"/>
    </row>
    <row r="17" spans="1:45" ht="36" customHeight="1" x14ac:dyDescent="0.2">
      <c r="A17" s="644">
        <v>3</v>
      </c>
      <c r="B17" s="646" t="s">
        <v>118</v>
      </c>
      <c r="C17" s="563">
        <f>AB15*71.46%</f>
        <v>2478.5329319999996</v>
      </c>
      <c r="D17" s="563">
        <f>AB15*18.75%</f>
        <v>650.32875000000001</v>
      </c>
      <c r="E17" s="563">
        <f>AB15*9.79%</f>
        <v>339.55831799999999</v>
      </c>
      <c r="F17" s="563">
        <f>AC15*71.46%</f>
        <v>1652.355288</v>
      </c>
      <c r="G17" s="563">
        <f>AC15*18.75%</f>
        <v>433.55250000000001</v>
      </c>
      <c r="H17" s="563">
        <f>AC15*9.79%</f>
        <v>226.37221199999999</v>
      </c>
      <c r="I17" s="562">
        <f>C17+F17</f>
        <v>4130.8882199999998</v>
      </c>
      <c r="J17" s="562">
        <f>D17+G17</f>
        <v>1083.8812499999999</v>
      </c>
      <c r="K17" s="562">
        <f>E17+H17</f>
        <v>565.93052999999998</v>
      </c>
      <c r="L17" s="563">
        <f>AI15*71.46%</f>
        <v>1307.2463639999999</v>
      </c>
      <c r="M17" s="563">
        <f>AI15*18.75%</f>
        <v>343.00124999999997</v>
      </c>
      <c r="N17" s="563">
        <f>AI15*9.79%</f>
        <v>179.09238599999998</v>
      </c>
      <c r="O17" s="563">
        <f>AJ15*71.46%</f>
        <v>871.49757599999987</v>
      </c>
      <c r="P17" s="563">
        <f>AJ15*18.75%</f>
        <v>228.66749999999999</v>
      </c>
      <c r="Q17" s="563">
        <f>AJ15*9.79%</f>
        <v>119.39492399999997</v>
      </c>
      <c r="R17" s="562">
        <f t="shared" si="1"/>
        <v>2178.7439399999998</v>
      </c>
      <c r="S17" s="562">
        <f t="shared" si="1"/>
        <v>571.66874999999993</v>
      </c>
      <c r="T17" s="562">
        <f t="shared" si="1"/>
        <v>298.48730999999998</v>
      </c>
      <c r="U17" s="563">
        <f>I17+R17</f>
        <v>6309.6321599999992</v>
      </c>
      <c r="V17" s="563">
        <f t="shared" si="2"/>
        <v>1655.5499999999997</v>
      </c>
      <c r="W17" s="563">
        <f t="shared" si="2"/>
        <v>864.41783999999996</v>
      </c>
      <c r="Y17" s="891"/>
      <c r="Z17" s="891"/>
      <c r="AA17" s="891"/>
      <c r="AB17" s="891"/>
      <c r="AC17" s="891"/>
      <c r="AD17" s="891"/>
      <c r="AE17" s="892"/>
      <c r="AF17" s="891"/>
      <c r="AG17" s="891"/>
      <c r="AH17" s="891"/>
      <c r="AI17" s="891"/>
      <c r="AJ17" s="891"/>
      <c r="AK17" s="891"/>
      <c r="AN17" s="873"/>
      <c r="AO17" s="885"/>
      <c r="AP17" s="885"/>
      <c r="AQ17" s="885"/>
      <c r="AR17" s="885"/>
      <c r="AS17" s="885"/>
    </row>
    <row r="18" spans="1:45" ht="36" customHeight="1" x14ac:dyDescent="0.2">
      <c r="A18" s="644">
        <v>4</v>
      </c>
      <c r="B18" s="646" t="s">
        <v>116</v>
      </c>
      <c r="C18" s="563">
        <f>AD15*71.46%</f>
        <v>211.67271288899997</v>
      </c>
      <c r="D18" s="563">
        <f>AD15*18.75%</f>
        <v>55.539649687499995</v>
      </c>
      <c r="E18" s="563">
        <f>AD15*9.79%</f>
        <v>28.999102423499995</v>
      </c>
      <c r="F18" s="563">
        <v>0</v>
      </c>
      <c r="G18" s="563">
        <v>0</v>
      </c>
      <c r="H18" s="563">
        <v>0</v>
      </c>
      <c r="I18" s="562">
        <f>C18+F18</f>
        <v>211.67271288899997</v>
      </c>
      <c r="J18" s="562">
        <f>D18+G18</f>
        <v>55.539649687499995</v>
      </c>
      <c r="K18" s="562">
        <f>E18+H18</f>
        <v>28.999102423499995</v>
      </c>
      <c r="L18" s="563">
        <f>(AK15+AS15)*71.46%</f>
        <v>200.91802129874995</v>
      </c>
      <c r="M18" s="563">
        <f>(AK15+AS15)*18.75%</f>
        <v>52.717784765624998</v>
      </c>
      <c r="N18" s="563">
        <f>(AK15+AS15)*9.79%</f>
        <v>27.525712685624992</v>
      </c>
      <c r="O18" s="563">
        <v>0</v>
      </c>
      <c r="P18" s="563">
        <v>0</v>
      </c>
      <c r="Q18" s="563">
        <v>0</v>
      </c>
      <c r="R18" s="562">
        <f t="shared" si="1"/>
        <v>200.91802129874995</v>
      </c>
      <c r="S18" s="562">
        <f t="shared" si="1"/>
        <v>52.717784765624998</v>
      </c>
      <c r="T18" s="562">
        <f>N18+Q18</f>
        <v>27.525712685624992</v>
      </c>
      <c r="U18" s="563">
        <f>I18+R18</f>
        <v>412.59073418774994</v>
      </c>
      <c r="V18" s="563">
        <f>J18+S18</f>
        <v>108.257434453125</v>
      </c>
      <c r="W18" s="563">
        <f t="shared" si="2"/>
        <v>56.524815109124987</v>
      </c>
      <c r="Y18" s="891"/>
      <c r="Z18" s="891"/>
      <c r="AA18" s="891"/>
      <c r="AB18" s="891"/>
      <c r="AC18" s="891"/>
      <c r="AD18" s="891"/>
      <c r="AE18" s="892"/>
      <c r="AF18" s="891"/>
      <c r="AG18" s="891"/>
      <c r="AH18" s="891"/>
      <c r="AI18" s="891"/>
      <c r="AJ18" s="891"/>
      <c r="AK18" s="891"/>
      <c r="AN18" s="873"/>
      <c r="AO18" s="885"/>
      <c r="AP18" s="885"/>
      <c r="AQ18" s="885"/>
      <c r="AR18" s="885"/>
      <c r="AS18" s="885"/>
    </row>
    <row r="19" spans="1:45" ht="36" customHeight="1" x14ac:dyDescent="0.2">
      <c r="A19" s="644">
        <v>5</v>
      </c>
      <c r="B19" s="645" t="s">
        <v>117</v>
      </c>
      <c r="C19" s="563">
        <f>SUM(C15:C18)*3%</f>
        <v>316.34023333470481</v>
      </c>
      <c r="D19" s="563">
        <f t="shared" ref="D19:N19" si="3">SUM(D15:D18)*3%</f>
        <v>83.002790022750006</v>
      </c>
      <c r="E19" s="563">
        <f>SUM(E15:E18)*3%</f>
        <v>43.338523430545202</v>
      </c>
      <c r="F19" s="563">
        <v>0</v>
      </c>
      <c r="G19" s="563">
        <v>0</v>
      </c>
      <c r="H19" s="563">
        <v>0</v>
      </c>
      <c r="I19" s="563">
        <f>C19</f>
        <v>316.34023333470481</v>
      </c>
      <c r="J19" s="563">
        <f t="shared" ref="J19:K19" si="4">D19</f>
        <v>83.002790022750006</v>
      </c>
      <c r="K19" s="563">
        <f t="shared" si="4"/>
        <v>43.338523430545202</v>
      </c>
      <c r="L19" s="563">
        <f>SUM(L15:L18)*3%</f>
        <v>268.37109147860099</v>
      </c>
      <c r="M19" s="563">
        <f t="shared" si="3"/>
        <v>70.416428284687484</v>
      </c>
      <c r="N19" s="563">
        <f t="shared" si="3"/>
        <v>36.766764421711493</v>
      </c>
      <c r="O19" s="563">
        <v>0</v>
      </c>
      <c r="P19" s="563">
        <v>0</v>
      </c>
      <c r="Q19" s="563">
        <v>0</v>
      </c>
      <c r="R19" s="563">
        <f>L19</f>
        <v>268.37109147860099</v>
      </c>
      <c r="S19" s="563">
        <f t="shared" ref="S19:T19" si="5">M19</f>
        <v>70.416428284687484</v>
      </c>
      <c r="T19" s="563">
        <f t="shared" si="5"/>
        <v>36.766764421711493</v>
      </c>
      <c r="U19" s="563">
        <f>I19+R19</f>
        <v>584.71132481330574</v>
      </c>
      <c r="V19" s="563">
        <f t="shared" ref="V19" si="6">J19+S19</f>
        <v>153.41921830743749</v>
      </c>
      <c r="W19" s="563">
        <f t="shared" si="2"/>
        <v>80.105287852256694</v>
      </c>
      <c r="Y19" s="891"/>
      <c r="Z19" s="891"/>
      <c r="AA19" s="891"/>
      <c r="AB19" s="891"/>
      <c r="AC19" s="891"/>
      <c r="AD19" s="891"/>
      <c r="AE19" s="892"/>
      <c r="AF19" s="891"/>
      <c r="AG19" s="891"/>
      <c r="AH19" s="891"/>
      <c r="AI19" s="891"/>
      <c r="AJ19" s="891"/>
      <c r="AK19" s="891"/>
      <c r="AN19" s="873"/>
      <c r="AO19" s="885"/>
      <c r="AP19" s="885"/>
      <c r="AQ19" s="885"/>
      <c r="AR19" s="885"/>
      <c r="AS19" s="885"/>
    </row>
    <row r="20" spans="1:45" s="567" customFormat="1" ht="36" customHeight="1" x14ac:dyDescent="0.2">
      <c r="A20" s="566"/>
      <c r="B20" s="559" t="s">
        <v>660</v>
      </c>
      <c r="C20" s="563">
        <f>SUM(C15:C19)</f>
        <v>10861.014677824864</v>
      </c>
      <c r="D20" s="563">
        <f t="shared" ref="D20:W20" si="7">SUM(D15:D19)</f>
        <v>2849.7624574477504</v>
      </c>
      <c r="E20" s="563">
        <f t="shared" si="7"/>
        <v>1487.9559711153852</v>
      </c>
      <c r="F20" s="563">
        <f t="shared" si="7"/>
        <v>12941.566642079999</v>
      </c>
      <c r="G20" s="563">
        <f t="shared" si="7"/>
        <v>3395.6671500000002</v>
      </c>
      <c r="H20" s="563">
        <f t="shared" si="7"/>
        <v>1772.9910079199997</v>
      </c>
      <c r="I20" s="563">
        <f t="shared" si="7"/>
        <v>23802.581319904864</v>
      </c>
      <c r="J20" s="563">
        <f t="shared" si="7"/>
        <v>6245.4296074477506</v>
      </c>
      <c r="K20" s="563">
        <f t="shared" si="7"/>
        <v>3260.9469790353851</v>
      </c>
      <c r="L20" s="563">
        <f t="shared" si="7"/>
        <v>9214.0741407653004</v>
      </c>
      <c r="M20" s="563">
        <f t="shared" si="7"/>
        <v>2417.6307044409368</v>
      </c>
      <c r="N20" s="563">
        <f t="shared" si="7"/>
        <v>1262.3255784787614</v>
      </c>
      <c r="O20" s="563">
        <f t="shared" si="7"/>
        <v>9479.7185774219997</v>
      </c>
      <c r="P20" s="563">
        <f t="shared" si="7"/>
        <v>2487.3317006250004</v>
      </c>
      <c r="Q20" s="563">
        <f t="shared" si="7"/>
        <v>1298.7187919529999</v>
      </c>
      <c r="R20" s="563">
        <f t="shared" si="7"/>
        <v>18693.792718187302</v>
      </c>
      <c r="S20" s="563">
        <f t="shared" si="7"/>
        <v>4904.9624050659377</v>
      </c>
      <c r="T20" s="563">
        <f t="shared" si="7"/>
        <v>2561.0443704317613</v>
      </c>
      <c r="U20" s="563">
        <f t="shared" si="7"/>
        <v>42496.374038092152</v>
      </c>
      <c r="V20" s="563">
        <f t="shared" si="7"/>
        <v>11150.392012513688</v>
      </c>
      <c r="W20" s="563">
        <f t="shared" si="7"/>
        <v>5821.9913494671464</v>
      </c>
      <c r="Y20" s="1051"/>
      <c r="Z20" s="893"/>
      <c r="AA20" s="893"/>
      <c r="AB20" s="893"/>
      <c r="AC20" s="893"/>
      <c r="AD20" s="893"/>
      <c r="AE20" s="894"/>
      <c r="AF20" s="893"/>
      <c r="AG20" s="893"/>
      <c r="AH20" s="893"/>
      <c r="AI20" s="893"/>
      <c r="AJ20" s="893"/>
      <c r="AK20" s="893"/>
      <c r="AN20" s="875"/>
      <c r="AO20" s="887"/>
      <c r="AP20" s="887"/>
      <c r="AQ20" s="887"/>
      <c r="AR20" s="887"/>
      <c r="AS20" s="887"/>
    </row>
    <row r="21" spans="1:45" s="567" customFormat="1" ht="36" customHeight="1" x14ac:dyDescent="0.25">
      <c r="A21" s="1633" t="s">
        <v>975</v>
      </c>
      <c r="B21" s="1634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989"/>
      <c r="V21" s="989"/>
      <c r="W21" s="989"/>
      <c r="Y21" s="1051"/>
      <c r="Z21" s="893"/>
      <c r="AA21" s="587">
        <v>1829.34</v>
      </c>
      <c r="AB21" s="893"/>
      <c r="AC21" s="893"/>
      <c r="AD21" s="893"/>
      <c r="AE21" s="894"/>
      <c r="AF21" s="893"/>
      <c r="AG21" s="893"/>
      <c r="AH21" s="893"/>
      <c r="AI21" s="893"/>
      <c r="AJ21" s="893"/>
      <c r="AK21" s="893"/>
      <c r="AN21" s="893"/>
      <c r="AO21" s="1007"/>
      <c r="AP21" s="1007"/>
      <c r="AQ21" s="1007"/>
      <c r="AR21" s="1007"/>
      <c r="AS21" s="1007"/>
    </row>
    <row r="22" spans="1:45" s="567" customFormat="1" ht="36" customHeight="1" x14ac:dyDescent="0.3">
      <c r="A22" s="1008">
        <v>1</v>
      </c>
      <c r="B22" s="645" t="s">
        <v>114</v>
      </c>
      <c r="C22" s="563">
        <f>AC32*71.46%</f>
        <v>22.068681649307997</v>
      </c>
      <c r="D22" s="563">
        <f>AC32*18.75%</f>
        <v>5.79048112125</v>
      </c>
      <c r="E22" s="563">
        <f>AC32*9.79%</f>
        <v>3.0234032094419998</v>
      </c>
      <c r="F22" s="563">
        <v>0</v>
      </c>
      <c r="G22" s="563">
        <v>0</v>
      </c>
      <c r="H22" s="563">
        <v>0</v>
      </c>
      <c r="I22" s="562">
        <f>C22+F22</f>
        <v>22.068681649307997</v>
      </c>
      <c r="J22" s="562">
        <f t="shared" ref="J22" si="8">D22+G22</f>
        <v>5.79048112125</v>
      </c>
      <c r="K22" s="562">
        <f>E22+H22</f>
        <v>3.0234032094419998</v>
      </c>
      <c r="L22" s="563">
        <f>AC33*71.46%</f>
        <v>17.904630172463996</v>
      </c>
      <c r="M22" s="563">
        <f>AC33*18.75%</f>
        <v>4.6978983449999996</v>
      </c>
      <c r="N22" s="563">
        <f>AC33*9.79%</f>
        <v>2.4529293225359994</v>
      </c>
      <c r="O22" s="563">
        <v>0</v>
      </c>
      <c r="P22" s="563">
        <v>0</v>
      </c>
      <c r="Q22" s="563">
        <v>0</v>
      </c>
      <c r="R22" s="562">
        <f>L22+O22</f>
        <v>17.904630172463996</v>
      </c>
      <c r="S22" s="562">
        <f t="shared" ref="S22:T24" si="9">M22+P22</f>
        <v>4.6978983449999996</v>
      </c>
      <c r="T22" s="562">
        <f t="shared" si="9"/>
        <v>2.4529293225359994</v>
      </c>
      <c r="U22" s="563">
        <f>I22+R22</f>
        <v>39.973311821771993</v>
      </c>
      <c r="V22" s="563">
        <f t="shared" ref="V22:W24" si="10">J22+S22</f>
        <v>10.488379466249999</v>
      </c>
      <c r="W22" s="563">
        <f t="shared" si="10"/>
        <v>5.4763325319779987</v>
      </c>
      <c r="Y22" s="893"/>
      <c r="Z22" s="893"/>
      <c r="AA22" s="1052">
        <v>1219.5</v>
      </c>
      <c r="AB22" s="893"/>
      <c r="AC22" s="893"/>
      <c r="AD22" s="893"/>
      <c r="AE22" s="894"/>
      <c r="AF22" s="893"/>
      <c r="AG22" s="893"/>
      <c r="AH22" s="893"/>
      <c r="AI22" s="893"/>
      <c r="AJ22" s="893"/>
      <c r="AK22" s="893"/>
      <c r="AN22" s="893"/>
      <c r="AO22" s="1007"/>
      <c r="AP22" s="1007"/>
      <c r="AQ22" s="1007"/>
      <c r="AR22" s="1007"/>
      <c r="AS22" s="1007"/>
    </row>
    <row r="23" spans="1:45" s="567" customFormat="1" ht="36" customHeight="1" x14ac:dyDescent="0.2">
      <c r="A23" s="1008">
        <v>2</v>
      </c>
      <c r="B23" s="646" t="s">
        <v>462</v>
      </c>
      <c r="C23" s="563">
        <f>AB35*71.46%</f>
        <v>180.62815343327998</v>
      </c>
      <c r="D23" s="563">
        <f>AB35*18.75%</f>
        <v>47.394036900000003</v>
      </c>
      <c r="E23" s="563">
        <f>AB35*9.79%</f>
        <v>24.746006466719997</v>
      </c>
      <c r="F23" s="563">
        <f>AE35*71.46%</f>
        <v>291.33573134399995</v>
      </c>
      <c r="G23" s="563">
        <f>AE35*18.75%</f>
        <v>76.441994999999991</v>
      </c>
      <c r="H23" s="563">
        <f>AE35*9.79%</f>
        <v>39.912913655999994</v>
      </c>
      <c r="I23" s="562">
        <f>C23+F23</f>
        <v>471.96388477727993</v>
      </c>
      <c r="J23" s="562">
        <f>D23+G23</f>
        <v>123.83603189999999</v>
      </c>
      <c r="K23" s="562">
        <f>E23+H23</f>
        <v>64.658920122719991</v>
      </c>
      <c r="L23" s="563">
        <f>AB36*71.46%</f>
        <v>146.15220668831998</v>
      </c>
      <c r="M23" s="563">
        <f>AB36*18.75%</f>
        <v>38.348081100000002</v>
      </c>
      <c r="N23" s="563">
        <f>AB36*9.79%</f>
        <v>20.022811411679996</v>
      </c>
      <c r="O23" s="563">
        <f>AE36*71.46%</f>
        <v>189.87968631743996</v>
      </c>
      <c r="P23" s="563">
        <f>AE36*18.75%</f>
        <v>49.821496199999999</v>
      </c>
      <c r="Q23" s="563">
        <f>AE36*9.79%</f>
        <v>26.013463882559996</v>
      </c>
      <c r="R23" s="562">
        <f>L23+O23</f>
        <v>336.03189300575991</v>
      </c>
      <c r="S23" s="562">
        <f>M23+P23</f>
        <v>88.1695773</v>
      </c>
      <c r="T23" s="562">
        <f>N23+Q23</f>
        <v>46.036275294239992</v>
      </c>
      <c r="U23" s="563">
        <f>I23+R23</f>
        <v>807.99577778303978</v>
      </c>
      <c r="V23" s="563">
        <f>J23+S23</f>
        <v>212.00560919999998</v>
      </c>
      <c r="W23" s="563">
        <f>K23+T23</f>
        <v>110.69519541695999</v>
      </c>
      <c r="Y23" s="893"/>
      <c r="Z23" s="893"/>
      <c r="AA23" s="893"/>
      <c r="AB23" s="893"/>
      <c r="AC23" s="893"/>
      <c r="AD23" s="893">
        <f>71.46</f>
        <v>71.459999999999994</v>
      </c>
      <c r="AE23" s="894"/>
      <c r="AF23" s="893"/>
      <c r="AG23" s="893"/>
      <c r="AH23" s="893"/>
      <c r="AI23" s="893"/>
      <c r="AJ23" s="893"/>
      <c r="AK23" s="893"/>
      <c r="AN23" s="893"/>
      <c r="AO23" s="1007"/>
      <c r="AP23" s="1007"/>
      <c r="AQ23" s="1007"/>
      <c r="AR23" s="1007"/>
      <c r="AS23" s="1007"/>
    </row>
    <row r="24" spans="1:45" s="567" customFormat="1" ht="36" customHeight="1" x14ac:dyDescent="0.2">
      <c r="A24" s="1008">
        <v>3</v>
      </c>
      <c r="B24" s="646" t="s">
        <v>118</v>
      </c>
      <c r="C24" s="563">
        <f>AA41*71.46%</f>
        <v>33.69196079999999</v>
      </c>
      <c r="D24" s="563">
        <f>AA41*18.75%</f>
        <v>8.8402499999999993</v>
      </c>
      <c r="E24" s="563">
        <f>AA41*9.79%</f>
        <v>4.6157891999999991</v>
      </c>
      <c r="F24" s="563">
        <f>AB41*71.46%</f>
        <v>12.901388399999997</v>
      </c>
      <c r="G24" s="563">
        <f>AB41*18.75%</f>
        <v>3.3851249999999995</v>
      </c>
      <c r="H24" s="563">
        <f>AB41*9.79%</f>
        <v>1.7674865999999996</v>
      </c>
      <c r="I24" s="562">
        <f>C24+F24</f>
        <v>46.593349199999984</v>
      </c>
      <c r="J24" s="562">
        <f>D24+G24</f>
        <v>12.225375</v>
      </c>
      <c r="K24" s="562">
        <f>E24+H24</f>
        <v>6.3832757999999989</v>
      </c>
      <c r="L24" s="563">
        <f>AA42*71.46%</f>
        <v>22.461307199999997</v>
      </c>
      <c r="M24" s="563">
        <f>AA42*18.75%</f>
        <v>5.8935000000000004</v>
      </c>
      <c r="N24" s="563">
        <f>AA42*9.79%</f>
        <v>3.0771927999999997</v>
      </c>
      <c r="O24" s="563">
        <f>AB42*71.46%</f>
        <v>8.6009256000000001</v>
      </c>
      <c r="P24" s="563">
        <f>AB42*18.75%</f>
        <v>2.2567500000000003</v>
      </c>
      <c r="Q24" s="563">
        <f>AB42*9.79%</f>
        <v>1.1783243999999999</v>
      </c>
      <c r="R24" s="562">
        <f>L24+O24</f>
        <v>31.062232799999997</v>
      </c>
      <c r="S24" s="562">
        <f t="shared" si="9"/>
        <v>8.1502499999999998</v>
      </c>
      <c r="T24" s="562">
        <f t="shared" si="9"/>
        <v>4.2555171999999999</v>
      </c>
      <c r="U24" s="563">
        <f>I24+R24</f>
        <v>77.655581999999981</v>
      </c>
      <c r="V24" s="563">
        <f t="shared" si="10"/>
        <v>20.375624999999999</v>
      </c>
      <c r="W24" s="563">
        <f t="shared" si="10"/>
        <v>10.638793</v>
      </c>
      <c r="Y24" s="893"/>
      <c r="Z24" s="893"/>
      <c r="AA24" s="893"/>
      <c r="AB24" s="893"/>
      <c r="AC24" s="893"/>
      <c r="AD24" s="893">
        <v>18.75</v>
      </c>
      <c r="AE24" s="894"/>
      <c r="AF24" s="893"/>
      <c r="AG24" s="893"/>
      <c r="AH24" s="893"/>
      <c r="AI24" s="893"/>
      <c r="AJ24" s="893"/>
      <c r="AK24" s="893"/>
      <c r="AN24" s="893"/>
      <c r="AO24" s="1007"/>
      <c r="AP24" s="1007"/>
      <c r="AQ24" s="1007"/>
      <c r="AR24" s="1007"/>
      <c r="AS24" s="1007"/>
    </row>
    <row r="25" spans="1:45" s="567" customFormat="1" ht="36" customHeight="1" x14ac:dyDescent="0.2">
      <c r="A25" s="1008">
        <v>4</v>
      </c>
      <c r="B25" s="646" t="s">
        <v>116</v>
      </c>
      <c r="C25" s="563">
        <f>AD32*71.46%</f>
        <v>5.4625449627</v>
      </c>
      <c r="D25" s="563">
        <f>AD32*18.75%</f>
        <v>1.4332874062500003</v>
      </c>
      <c r="E25" s="563">
        <f>AD32*9.79%</f>
        <v>0.74836713104999997</v>
      </c>
      <c r="F25" s="563">
        <v>0</v>
      </c>
      <c r="G25" s="563">
        <v>0</v>
      </c>
      <c r="H25" s="563">
        <v>0</v>
      </c>
      <c r="I25" s="562">
        <f>C25+F25</f>
        <v>5.4625449627</v>
      </c>
      <c r="J25" s="562">
        <f>D25+G25</f>
        <v>1.4332874062500003</v>
      </c>
      <c r="K25" s="562">
        <f>E25+H25</f>
        <v>0.74836713104999997</v>
      </c>
      <c r="L25" s="563">
        <f>AD33*71.46%</f>
        <v>4.4318391515999993</v>
      </c>
      <c r="M25" s="563">
        <f>AD33*18.75%</f>
        <v>1.162846125</v>
      </c>
      <c r="N25" s="563">
        <f>AD33*9.79%</f>
        <v>0.60716072339999994</v>
      </c>
      <c r="O25" s="563">
        <v>0</v>
      </c>
      <c r="P25" s="563">
        <v>0</v>
      </c>
      <c r="Q25" s="563">
        <v>0</v>
      </c>
      <c r="R25" s="562">
        <f>L25+O25</f>
        <v>4.4318391515999993</v>
      </c>
      <c r="S25" s="562">
        <f>M25+P25</f>
        <v>1.162846125</v>
      </c>
      <c r="T25" s="562">
        <f>N25+Q25</f>
        <v>0.60716072339999994</v>
      </c>
      <c r="U25" s="563">
        <f>I25+R25</f>
        <v>9.8943841142999993</v>
      </c>
      <c r="V25" s="563">
        <f>J25+S25</f>
        <v>2.5961335312500005</v>
      </c>
      <c r="W25" s="563">
        <f>K25+T25</f>
        <v>1.35552785445</v>
      </c>
      <c r="Y25" s="893"/>
      <c r="Z25" s="893"/>
      <c r="AA25" s="893"/>
      <c r="AB25" s="893"/>
      <c r="AC25" s="893"/>
      <c r="AD25" s="893">
        <v>9.7899999999999991</v>
      </c>
      <c r="AE25" s="894"/>
      <c r="AF25" s="893"/>
      <c r="AG25" s="893"/>
      <c r="AH25" s="893"/>
      <c r="AI25" s="893"/>
      <c r="AJ25" s="893"/>
      <c r="AK25" s="893"/>
      <c r="AN25" s="893"/>
      <c r="AO25" s="1007"/>
      <c r="AP25" s="1007"/>
      <c r="AQ25" s="1007"/>
      <c r="AR25" s="1007"/>
      <c r="AS25" s="1007"/>
    </row>
    <row r="26" spans="1:45" s="567" customFormat="1" ht="36" customHeight="1" x14ac:dyDescent="0.2">
      <c r="A26" s="1008">
        <v>5</v>
      </c>
      <c r="B26" s="645" t="s">
        <v>117</v>
      </c>
      <c r="C26" s="563">
        <f>SUM(C22:C25)*3%</f>
        <v>7.2555402253586383</v>
      </c>
      <c r="D26" s="563">
        <f>SUM(D22:D25)*3%</f>
        <v>1.9037416628249999</v>
      </c>
      <c r="E26" s="563">
        <f>SUM(E22:E25)*3%</f>
        <v>0.99400698021636003</v>
      </c>
      <c r="F26" s="563">
        <v>0</v>
      </c>
      <c r="G26" s="563">
        <v>0</v>
      </c>
      <c r="H26" s="563">
        <v>0</v>
      </c>
      <c r="I26" s="563">
        <f>C26</f>
        <v>7.2555402253586383</v>
      </c>
      <c r="J26" s="563">
        <f>D26</f>
        <v>1.9037416628249999</v>
      </c>
      <c r="K26" s="563">
        <f>E26</f>
        <v>0.99400698021636003</v>
      </c>
      <c r="L26" s="563">
        <f>SUM(L22:L25)*3%</f>
        <v>5.7284994963715183</v>
      </c>
      <c r="M26" s="563">
        <f>SUM(M22:M25)*3%</f>
        <v>1.5030697671000002</v>
      </c>
      <c r="N26" s="563">
        <f>SUM(N22:N25)*3%</f>
        <v>0.78480282772847987</v>
      </c>
      <c r="O26" s="563">
        <v>0</v>
      </c>
      <c r="P26" s="563">
        <v>0</v>
      </c>
      <c r="Q26" s="563">
        <v>0</v>
      </c>
      <c r="R26" s="562">
        <f>L26+O26</f>
        <v>5.7284994963715183</v>
      </c>
      <c r="S26" s="562">
        <f>M26+P26</f>
        <v>1.5030697671000002</v>
      </c>
      <c r="T26" s="562">
        <f>N26+Q26</f>
        <v>0.78480282772847987</v>
      </c>
      <c r="U26" s="563">
        <f>I26+R26</f>
        <v>12.984039721730156</v>
      </c>
      <c r="V26" s="563">
        <f>J26+S26</f>
        <v>3.4068114299249999</v>
      </c>
      <c r="W26" s="563">
        <f>K26+T26</f>
        <v>1.7788098079448398</v>
      </c>
      <c r="Y26" s="893"/>
      <c r="Z26" s="893"/>
      <c r="AA26" s="893"/>
      <c r="AB26" s="893"/>
      <c r="AC26" s="893"/>
      <c r="AD26" s="893"/>
      <c r="AE26" s="894"/>
      <c r="AF26" s="893"/>
      <c r="AG26" s="893"/>
      <c r="AH26" s="893"/>
      <c r="AI26" s="893"/>
      <c r="AJ26" s="893"/>
      <c r="AK26" s="893"/>
      <c r="AN26" s="893"/>
      <c r="AO26" s="1007"/>
      <c r="AP26" s="1007"/>
      <c r="AQ26" s="1007"/>
      <c r="AR26" s="1007"/>
      <c r="AS26" s="1007"/>
    </row>
    <row r="27" spans="1:45" s="567" customFormat="1" ht="36" customHeight="1" x14ac:dyDescent="0.2">
      <c r="A27" s="566"/>
      <c r="B27" s="559" t="s">
        <v>660</v>
      </c>
      <c r="C27" s="563">
        <f>SUM(C22:C26)</f>
        <v>249.10688107064658</v>
      </c>
      <c r="D27" s="563">
        <f t="shared" ref="D27:W27" si="11">SUM(D22:D26)</f>
        <v>65.361797090324998</v>
      </c>
      <c r="E27" s="563">
        <f t="shared" si="11"/>
        <v>34.127572987428366</v>
      </c>
      <c r="F27" s="563">
        <f t="shared" si="11"/>
        <v>304.23711974399993</v>
      </c>
      <c r="G27" s="563">
        <f t="shared" si="11"/>
        <v>79.827119999999994</v>
      </c>
      <c r="H27" s="563">
        <f t="shared" si="11"/>
        <v>41.680400255999992</v>
      </c>
      <c r="I27" s="563">
        <f>SUM(I22:I26)</f>
        <v>553.34400081464662</v>
      </c>
      <c r="J27" s="563">
        <f t="shared" si="11"/>
        <v>145.18891709032499</v>
      </c>
      <c r="K27" s="563">
        <f t="shared" si="11"/>
        <v>75.807973243428336</v>
      </c>
      <c r="L27" s="563">
        <f t="shared" si="11"/>
        <v>196.67848270875547</v>
      </c>
      <c r="M27" s="563">
        <f t="shared" si="11"/>
        <v>51.605395337100006</v>
      </c>
      <c r="N27" s="563">
        <f t="shared" si="11"/>
        <v>26.944897085344476</v>
      </c>
      <c r="O27" s="563">
        <f t="shared" si="11"/>
        <v>198.48061191743997</v>
      </c>
      <c r="P27" s="563">
        <f t="shared" si="11"/>
        <v>52.078246199999995</v>
      </c>
      <c r="Q27" s="563">
        <f t="shared" si="11"/>
        <v>27.191788282559997</v>
      </c>
      <c r="R27" s="563">
        <f>SUM(R22:R26)</f>
        <v>395.15909462619544</v>
      </c>
      <c r="S27" s="563">
        <f t="shared" si="11"/>
        <v>103.6836415371</v>
      </c>
      <c r="T27" s="563">
        <f t="shared" si="11"/>
        <v>54.13668536790447</v>
      </c>
      <c r="U27" s="563">
        <f>SUM(U22:U26)</f>
        <v>948.50309544084189</v>
      </c>
      <c r="V27" s="563">
        <f t="shared" si="11"/>
        <v>248.87255862742495</v>
      </c>
      <c r="W27" s="563">
        <f t="shared" si="11"/>
        <v>129.94465861133284</v>
      </c>
      <c r="Y27" s="893"/>
      <c r="Z27" s="893"/>
      <c r="AA27" s="893"/>
      <c r="AB27" s="893"/>
      <c r="AC27" s="893"/>
      <c r="AD27" s="893"/>
      <c r="AE27" s="894"/>
      <c r="AF27" s="893"/>
      <c r="AG27" s="893"/>
      <c r="AH27" s="893"/>
      <c r="AI27" s="893"/>
      <c r="AJ27" s="893"/>
      <c r="AK27" s="893"/>
      <c r="AN27" s="893"/>
      <c r="AO27" s="1007"/>
      <c r="AP27" s="1007"/>
      <c r="AQ27" s="1007"/>
      <c r="AR27" s="1007"/>
      <c r="AS27" s="1007"/>
    </row>
    <row r="28" spans="1:45" ht="45" customHeight="1" x14ac:dyDescent="0.2">
      <c r="A28" s="1635" t="s">
        <v>231</v>
      </c>
      <c r="B28" s="1636"/>
      <c r="C28" s="563"/>
      <c r="D28" s="563"/>
      <c r="E28" s="563"/>
      <c r="F28" s="563"/>
      <c r="G28" s="563"/>
      <c r="H28" s="563"/>
      <c r="I28" s="562"/>
      <c r="J28" s="562"/>
      <c r="K28" s="562"/>
      <c r="L28" s="563"/>
      <c r="M28" s="563"/>
      <c r="N28" s="563"/>
      <c r="O28" s="563"/>
      <c r="P28" s="563"/>
      <c r="Q28" s="563"/>
      <c r="R28" s="562"/>
      <c r="S28" s="562"/>
      <c r="T28" s="562"/>
      <c r="U28" s="563"/>
      <c r="V28" s="563"/>
      <c r="W28" s="563"/>
      <c r="Z28" s="871"/>
      <c r="AF28" s="1129" t="s">
        <v>18</v>
      </c>
      <c r="AG28" s="1129"/>
      <c r="AH28" s="1129"/>
      <c r="AI28" s="1129" t="s">
        <v>19</v>
      </c>
      <c r="AJ28" s="1129"/>
      <c r="AK28" s="1129"/>
      <c r="AL28" s="1128" t="s">
        <v>134</v>
      </c>
    </row>
    <row r="29" spans="1:45" ht="33.75" customHeight="1" x14ac:dyDescent="0.2">
      <c r="A29" s="644">
        <v>11</v>
      </c>
      <c r="B29" s="645" t="s">
        <v>119</v>
      </c>
      <c r="C29" s="563">
        <v>0</v>
      </c>
      <c r="D29" s="563">
        <v>0</v>
      </c>
      <c r="E29" s="563">
        <v>0</v>
      </c>
      <c r="F29" s="563">
        <v>0</v>
      </c>
      <c r="G29" s="563">
        <v>0</v>
      </c>
      <c r="H29" s="563">
        <v>0</v>
      </c>
      <c r="I29" s="562">
        <f t="shared" ref="I29:K30" si="12">C29+F29</f>
        <v>0</v>
      </c>
      <c r="J29" s="562">
        <f t="shared" si="12"/>
        <v>0</v>
      </c>
      <c r="K29" s="562">
        <f t="shared" si="12"/>
        <v>0</v>
      </c>
      <c r="L29" s="563">
        <v>0</v>
      </c>
      <c r="M29" s="563">
        <v>0</v>
      </c>
      <c r="N29" s="563">
        <v>0</v>
      </c>
      <c r="O29" s="563">
        <v>0</v>
      </c>
      <c r="P29" s="563">
        <v>0</v>
      </c>
      <c r="Q29" s="563">
        <v>0</v>
      </c>
      <c r="R29" s="562">
        <f t="shared" ref="R29:T30" si="13">L29+O29</f>
        <v>0</v>
      </c>
      <c r="S29" s="562">
        <f t="shared" si="13"/>
        <v>0</v>
      </c>
      <c r="T29" s="562">
        <f t="shared" si="13"/>
        <v>0</v>
      </c>
      <c r="U29" s="563">
        <f t="shared" ref="U29:W30" si="14">I29+R29</f>
        <v>0</v>
      </c>
      <c r="V29" s="563">
        <f t="shared" si="14"/>
        <v>0</v>
      </c>
      <c r="W29" s="563">
        <f t="shared" si="14"/>
        <v>0</v>
      </c>
      <c r="AF29" s="1044" t="s">
        <v>157</v>
      </c>
      <c r="AG29" s="1044" t="s">
        <v>92</v>
      </c>
      <c r="AH29" s="1044" t="s">
        <v>13</v>
      </c>
      <c r="AI29" s="1044" t="s">
        <v>157</v>
      </c>
      <c r="AJ29" s="1044" t="s">
        <v>92</v>
      </c>
      <c r="AK29" s="1044" t="s">
        <v>13</v>
      </c>
      <c r="AL29" s="1129"/>
    </row>
    <row r="30" spans="1:45" ht="33.75" customHeight="1" x14ac:dyDescent="0.2">
      <c r="A30" s="644">
        <v>12</v>
      </c>
      <c r="B30" s="645" t="s">
        <v>120</v>
      </c>
      <c r="C30" s="563">
        <v>0</v>
      </c>
      <c r="D30" s="563">
        <v>0</v>
      </c>
      <c r="E30" s="563">
        <v>0</v>
      </c>
      <c r="F30" s="563">
        <v>0</v>
      </c>
      <c r="G30" s="563">
        <v>0</v>
      </c>
      <c r="H30" s="563">
        <v>0</v>
      </c>
      <c r="I30" s="562">
        <f t="shared" si="12"/>
        <v>0</v>
      </c>
      <c r="J30" s="562">
        <f t="shared" si="12"/>
        <v>0</v>
      </c>
      <c r="K30" s="562">
        <f t="shared" si="12"/>
        <v>0</v>
      </c>
      <c r="L30" s="563">
        <v>0</v>
      </c>
      <c r="M30" s="563">
        <v>0</v>
      </c>
      <c r="N30" s="563">
        <v>0</v>
      </c>
      <c r="O30" s="563">
        <v>0</v>
      </c>
      <c r="P30" s="563">
        <v>0</v>
      </c>
      <c r="Q30" s="563">
        <v>0</v>
      </c>
      <c r="R30" s="562">
        <f t="shared" si="13"/>
        <v>0</v>
      </c>
      <c r="S30" s="562">
        <f t="shared" si="13"/>
        <v>0</v>
      </c>
      <c r="T30" s="562">
        <f t="shared" si="13"/>
        <v>0</v>
      </c>
      <c r="U30" s="563">
        <f t="shared" si="14"/>
        <v>0</v>
      </c>
      <c r="V30" s="563">
        <f t="shared" si="14"/>
        <v>0</v>
      </c>
      <c r="W30" s="563">
        <f t="shared" si="14"/>
        <v>0</v>
      </c>
      <c r="AC30" s="560" t="s">
        <v>976</v>
      </c>
      <c r="AF30" s="796"/>
      <c r="AG30" s="796"/>
      <c r="AH30" s="796"/>
      <c r="AI30" s="796"/>
      <c r="AJ30" s="796"/>
      <c r="AK30" s="796"/>
      <c r="AL30" s="717" t="s">
        <v>918</v>
      </c>
    </row>
    <row r="31" spans="1:45" ht="33.75" customHeight="1" x14ac:dyDescent="0.2">
      <c r="A31" s="647"/>
      <c r="B31" s="559" t="s">
        <v>660</v>
      </c>
      <c r="C31" s="563">
        <f>C29+C30</f>
        <v>0</v>
      </c>
      <c r="D31" s="563">
        <f t="shared" ref="D31:W31" si="15">D29+D30</f>
        <v>0</v>
      </c>
      <c r="E31" s="563">
        <f t="shared" si="15"/>
        <v>0</v>
      </c>
      <c r="F31" s="563">
        <f t="shared" si="15"/>
        <v>0</v>
      </c>
      <c r="G31" s="563">
        <f t="shared" si="15"/>
        <v>0</v>
      </c>
      <c r="H31" s="563">
        <f t="shared" si="15"/>
        <v>0</v>
      </c>
      <c r="I31" s="563">
        <f t="shared" si="15"/>
        <v>0</v>
      </c>
      <c r="J31" s="563">
        <f t="shared" si="15"/>
        <v>0</v>
      </c>
      <c r="K31" s="563">
        <f t="shared" si="15"/>
        <v>0</v>
      </c>
      <c r="L31" s="563">
        <f t="shared" si="15"/>
        <v>0</v>
      </c>
      <c r="M31" s="563">
        <f t="shared" si="15"/>
        <v>0</v>
      </c>
      <c r="N31" s="563">
        <f t="shared" si="15"/>
        <v>0</v>
      </c>
      <c r="O31" s="563">
        <f t="shared" si="15"/>
        <v>0</v>
      </c>
      <c r="P31" s="563">
        <f t="shared" si="15"/>
        <v>0</v>
      </c>
      <c r="Q31" s="563">
        <f t="shared" si="15"/>
        <v>0</v>
      </c>
      <c r="R31" s="563">
        <f t="shared" si="15"/>
        <v>0</v>
      </c>
      <c r="S31" s="563">
        <f t="shared" si="15"/>
        <v>0</v>
      </c>
      <c r="T31" s="563">
        <f t="shared" si="15"/>
        <v>0</v>
      </c>
      <c r="U31" s="563">
        <f t="shared" si="15"/>
        <v>0</v>
      </c>
      <c r="V31" s="563">
        <f t="shared" si="15"/>
        <v>0</v>
      </c>
      <c r="W31" s="563">
        <f t="shared" si="15"/>
        <v>0</v>
      </c>
      <c r="AB31" s="560" t="s">
        <v>973</v>
      </c>
      <c r="AC31" s="560">
        <v>42</v>
      </c>
      <c r="AD31" s="560" t="s">
        <v>980</v>
      </c>
      <c r="AF31" s="884">
        <v>2.48</v>
      </c>
      <c r="AG31" s="884">
        <v>4</v>
      </c>
      <c r="AH31" s="884">
        <v>6.48</v>
      </c>
      <c r="AI31" s="884">
        <v>3.71</v>
      </c>
      <c r="AJ31" s="884">
        <v>4.82</v>
      </c>
      <c r="AK31" s="884">
        <v>8.5300000000000011</v>
      </c>
      <c r="AL31" s="1045" t="s">
        <v>158</v>
      </c>
    </row>
    <row r="32" spans="1:45" s="567" customFormat="1" ht="33.75" customHeight="1" x14ac:dyDescent="0.2">
      <c r="A32" s="1633" t="s">
        <v>29</v>
      </c>
      <c r="B32" s="1634"/>
      <c r="C32" s="563">
        <f>SUM(C20+C27+C31)</f>
        <v>11110.121558895511</v>
      </c>
      <c r="D32" s="563">
        <f t="shared" ref="D32:W32" si="16">SUM(D20+D27+D31)</f>
        <v>2915.1242545380755</v>
      </c>
      <c r="E32" s="563">
        <f t="shared" si="16"/>
        <v>1522.0835441028134</v>
      </c>
      <c r="F32" s="563">
        <f t="shared" si="16"/>
        <v>13245.803761824</v>
      </c>
      <c r="G32" s="563">
        <f t="shared" si="16"/>
        <v>3475.4942700000001</v>
      </c>
      <c r="H32" s="563">
        <f t="shared" si="16"/>
        <v>1814.6714081759997</v>
      </c>
      <c r="I32" s="563">
        <f t="shared" si="16"/>
        <v>24355.925320719511</v>
      </c>
      <c r="J32" s="563">
        <f t="shared" si="16"/>
        <v>6390.6185245380757</v>
      </c>
      <c r="K32" s="563">
        <f t="shared" si="16"/>
        <v>3336.7549522788136</v>
      </c>
      <c r="L32" s="563">
        <f t="shared" si="16"/>
        <v>9410.7526234740562</v>
      </c>
      <c r="M32" s="563">
        <f t="shared" si="16"/>
        <v>2469.236099778037</v>
      </c>
      <c r="N32" s="563">
        <f t="shared" si="16"/>
        <v>1289.2704755641059</v>
      </c>
      <c r="O32" s="563">
        <f t="shared" si="16"/>
        <v>9678.1991893394388</v>
      </c>
      <c r="P32" s="563">
        <f t="shared" si="16"/>
        <v>2539.4099468250006</v>
      </c>
      <c r="Q32" s="563">
        <f t="shared" si="16"/>
        <v>1325.91058023556</v>
      </c>
      <c r="R32" s="563">
        <f t="shared" si="16"/>
        <v>19088.951812813499</v>
      </c>
      <c r="S32" s="563">
        <f t="shared" si="16"/>
        <v>5008.6460466030376</v>
      </c>
      <c r="T32" s="563">
        <f t="shared" si="16"/>
        <v>2615.181055799666</v>
      </c>
      <c r="U32" s="563">
        <f>SUM(U20+U27+U31)</f>
        <v>43444.877133532995</v>
      </c>
      <c r="V32" s="563">
        <f t="shared" si="16"/>
        <v>11399.264571141113</v>
      </c>
      <c r="W32" s="563">
        <f t="shared" si="16"/>
        <v>5951.9360080784791</v>
      </c>
      <c r="Z32" s="567" t="s">
        <v>906</v>
      </c>
      <c r="AA32" s="567" t="s">
        <v>716</v>
      </c>
      <c r="AB32" s="1011">
        <v>242673</v>
      </c>
      <c r="AC32" s="1009">
        <f>(AB32*AC31*0.0001*3030)/100000</f>
        <v>30.882565980000003</v>
      </c>
      <c r="AD32" s="1009">
        <f>(AB32*AC31*0.0001)*750/100000</f>
        <v>7.6441995000000009</v>
      </c>
    </row>
    <row r="33" spans="1:31" x14ac:dyDescent="0.2">
      <c r="A33" s="648"/>
      <c r="B33" s="648"/>
      <c r="AA33" s="560" t="s">
        <v>974</v>
      </c>
      <c r="AB33" s="1011">
        <v>131256</v>
      </c>
      <c r="AC33" s="871">
        <f>AB33*AC31*0.00015*3030/100000</f>
        <v>25.055457839999999</v>
      </c>
      <c r="AD33" s="871">
        <f>(AB33*AC31*0.00015)*750/100000</f>
        <v>6.2018459999999997</v>
      </c>
    </row>
    <row r="35" spans="1:31" ht="58.5" customHeight="1" x14ac:dyDescent="0.2">
      <c r="A35" s="78" t="s">
        <v>700</v>
      </c>
      <c r="B35" s="87"/>
      <c r="C35" s="87"/>
      <c r="D35" s="87"/>
      <c r="E35" s="87"/>
      <c r="F35" s="87"/>
      <c r="G35" s="87"/>
      <c r="H35" s="87"/>
      <c r="L35" s="87"/>
      <c r="R35" s="1459" t="s">
        <v>646</v>
      </c>
      <c r="S35" s="1459"/>
      <c r="T35" s="1459"/>
      <c r="U35" s="1459"/>
      <c r="V35" s="1459"/>
      <c r="W35" s="1459"/>
      <c r="AA35" s="560" t="s">
        <v>977</v>
      </c>
      <c r="AB35" s="1010">
        <f>AB32*42*2.48/100000</f>
        <v>252.7681968</v>
      </c>
      <c r="AD35" s="560" t="s">
        <v>978</v>
      </c>
      <c r="AE35" s="871">
        <f>AB32*42*4/100000</f>
        <v>407.69063999999997</v>
      </c>
    </row>
    <row r="36" spans="1:31" x14ac:dyDescent="0.2">
      <c r="AB36" s="871">
        <f>AB33*42*3.71/100000</f>
        <v>204.52309919999999</v>
      </c>
      <c r="AE36" s="871">
        <f>AB33*42*4.82/100000</f>
        <v>265.71464639999999</v>
      </c>
    </row>
    <row r="38" spans="1:31" x14ac:dyDescent="0.2">
      <c r="AC38" s="1053">
        <f>AB35+AB36+AE35+AE36</f>
        <v>1130.6965823999999</v>
      </c>
    </row>
    <row r="39" spans="1:31" x14ac:dyDescent="0.2">
      <c r="Z39" s="560" t="s">
        <v>979</v>
      </c>
      <c r="AA39" s="560">
        <v>7858</v>
      </c>
      <c r="AB39" s="560">
        <v>3009</v>
      </c>
    </row>
    <row r="40" spans="1:31" x14ac:dyDescent="0.2">
      <c r="AA40" s="560">
        <f>AA39*1000/100000</f>
        <v>78.58</v>
      </c>
      <c r="AB40" s="560">
        <f>AB39*1000/100000</f>
        <v>30.09</v>
      </c>
    </row>
    <row r="41" spans="1:31" x14ac:dyDescent="0.2">
      <c r="AA41" s="560">
        <f>AA40*60%</f>
        <v>47.147999999999996</v>
      </c>
      <c r="AB41" s="560">
        <f>AB40*60%</f>
        <v>18.053999999999998</v>
      </c>
    </row>
    <row r="42" spans="1:31" x14ac:dyDescent="0.2">
      <c r="AA42" s="560">
        <f>AA40-AA41</f>
        <v>31.432000000000002</v>
      </c>
      <c r="AB42" s="560">
        <f>AB40-AB41</f>
        <v>12.036000000000001</v>
      </c>
    </row>
  </sheetData>
  <mergeCells count="24">
    <mergeCell ref="A10:A11"/>
    <mergeCell ref="B10:B11"/>
    <mergeCell ref="C10:K10"/>
    <mergeCell ref="L10:T10"/>
    <mergeCell ref="U10:W11"/>
    <mergeCell ref="O1:U1"/>
    <mergeCell ref="B4:U4"/>
    <mergeCell ref="B6:U6"/>
    <mergeCell ref="A8:C8"/>
    <mergeCell ref="V9:W9"/>
    <mergeCell ref="AF28:AH28"/>
    <mergeCell ref="AI28:AK28"/>
    <mergeCell ref="AL28:AL29"/>
    <mergeCell ref="C11:E11"/>
    <mergeCell ref="F11:H11"/>
    <mergeCell ref="I11:K11"/>
    <mergeCell ref="L11:N11"/>
    <mergeCell ref="O11:Q11"/>
    <mergeCell ref="R11:T11"/>
    <mergeCell ref="A32:B32"/>
    <mergeCell ref="R35:W35"/>
    <mergeCell ref="A14:B14"/>
    <mergeCell ref="A21:B21"/>
    <mergeCell ref="A28:B28"/>
  </mergeCells>
  <printOptions horizontalCentered="1"/>
  <pageMargins left="0.59055118110236227" right="3.937007874015748E-2" top="0.23622047244094491" bottom="0" header="7.874015748031496E-2" footer="7.874015748031496E-2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H26"/>
  <sheetViews>
    <sheetView view="pageBreakPreview" topLeftCell="A10" zoomScaleSheetLayoutView="100" workbookViewId="0">
      <selection activeCell="D17" sqref="D17"/>
    </sheetView>
  </sheetViews>
  <sheetFormatPr defaultColWidth="9.140625" defaultRowHeight="12.75" x14ac:dyDescent="0.2"/>
  <cols>
    <col min="1" max="1" width="8.28515625" style="87" customWidth="1"/>
    <col min="2" max="2" width="19.28515625" style="87" customWidth="1"/>
    <col min="3" max="6" width="17.28515625" style="87" customWidth="1"/>
    <col min="7" max="7" width="23.5703125" style="87" customWidth="1"/>
    <col min="8" max="8" width="22.7109375" style="87" customWidth="1"/>
    <col min="9" max="16384" width="9.140625" style="87"/>
  </cols>
  <sheetData>
    <row r="1" spans="1:8" ht="18" x14ac:dyDescent="0.35">
      <c r="A1" s="1193" t="s">
        <v>0</v>
      </c>
      <c r="B1" s="1193"/>
      <c r="C1" s="1193"/>
      <c r="D1" s="1193"/>
      <c r="E1" s="1193"/>
      <c r="F1" s="1193"/>
      <c r="G1" s="1193"/>
      <c r="H1" s="374" t="s">
        <v>241</v>
      </c>
    </row>
    <row r="2" spans="1:8" ht="21" x14ac:dyDescent="0.35">
      <c r="A2" s="1194" t="s">
        <v>793</v>
      </c>
      <c r="B2" s="1194"/>
      <c r="C2" s="1194"/>
      <c r="D2" s="1194"/>
      <c r="E2" s="1194"/>
      <c r="F2" s="1194"/>
      <c r="G2" s="1194"/>
      <c r="H2" s="1194"/>
    </row>
    <row r="3" spans="1:8" ht="15" x14ac:dyDescent="0.3">
      <c r="A3" s="86"/>
      <c r="B3" s="86"/>
    </row>
    <row r="4" spans="1:8" ht="18" customHeight="1" x14ac:dyDescent="0.35">
      <c r="A4" s="1195" t="s">
        <v>803</v>
      </c>
      <c r="B4" s="1195"/>
      <c r="C4" s="1195"/>
      <c r="D4" s="1195"/>
      <c r="E4" s="1195"/>
      <c r="F4" s="1195"/>
      <c r="G4" s="1195"/>
      <c r="H4" s="1195"/>
    </row>
    <row r="5" spans="1:8" ht="15" x14ac:dyDescent="0.3">
      <c r="A5" s="375" t="s">
        <v>661</v>
      </c>
      <c r="B5" s="375"/>
    </row>
    <row r="6" spans="1:8" ht="15" x14ac:dyDescent="0.3">
      <c r="A6" s="375"/>
      <c r="B6" s="375"/>
      <c r="G6" s="1196" t="s">
        <v>967</v>
      </c>
      <c r="H6" s="1196"/>
    </row>
    <row r="7" spans="1:8" s="369" customFormat="1" ht="59.25" customHeight="1" x14ac:dyDescent="0.2">
      <c r="A7" s="376" t="s">
        <v>2</v>
      </c>
      <c r="B7" s="376" t="s">
        <v>3</v>
      </c>
      <c r="C7" s="114" t="s">
        <v>242</v>
      </c>
      <c r="D7" s="114" t="s">
        <v>243</v>
      </c>
      <c r="E7" s="114" t="s">
        <v>244</v>
      </c>
      <c r="F7" s="114" t="s">
        <v>245</v>
      </c>
      <c r="G7" s="114" t="s">
        <v>246</v>
      </c>
      <c r="H7" s="114" t="s">
        <v>247</v>
      </c>
    </row>
    <row r="8" spans="1:8" s="374" customFormat="1" ht="15" x14ac:dyDescent="0.25">
      <c r="A8" s="377" t="s">
        <v>248</v>
      </c>
      <c r="B8" s="377" t="s">
        <v>249</v>
      </c>
      <c r="C8" s="377" t="s">
        <v>250</v>
      </c>
      <c r="D8" s="377" t="s">
        <v>251</v>
      </c>
      <c r="E8" s="377" t="s">
        <v>252</v>
      </c>
      <c r="F8" s="377" t="s">
        <v>253</v>
      </c>
      <c r="G8" s="377" t="s">
        <v>254</v>
      </c>
      <c r="H8" s="377" t="s">
        <v>255</v>
      </c>
    </row>
    <row r="9" spans="1:8" s="378" customFormat="1" ht="27" customHeight="1" x14ac:dyDescent="0.2">
      <c r="A9" s="120">
        <v>1</v>
      </c>
      <c r="B9" s="130" t="s">
        <v>647</v>
      </c>
      <c r="C9" s="937">
        <f>'AT3A_cvrg(Insti)_PY'!L12</f>
        <v>2350</v>
      </c>
      <c r="D9" s="937">
        <f>'AT3C_cvrg(Insti)_UPY '!L11</f>
        <v>379</v>
      </c>
      <c r="E9" s="937">
        <f>'AT3B_cvrg(Insti)_UPY '!L11</f>
        <v>425</v>
      </c>
      <c r="F9" s="937">
        <f>C9+D9+E9</f>
        <v>3154</v>
      </c>
      <c r="G9" s="965">
        <f>'AT3A_cvrg(Insti)_PY'!L12+'AT3B_cvrg(Insti)_UPY '!L11+'AT3C_cvrg(Insti)_UPY '!L11</f>
        <v>3154</v>
      </c>
      <c r="H9" s="965">
        <f>F9-G9</f>
        <v>0</v>
      </c>
    </row>
    <row r="10" spans="1:8" s="378" customFormat="1" ht="27" customHeight="1" x14ac:dyDescent="0.2">
      <c r="A10" s="120">
        <v>2</v>
      </c>
      <c r="B10" s="130" t="s">
        <v>648</v>
      </c>
      <c r="C10" s="937">
        <f>'AT3A_cvrg(Insti)_PY'!L13</f>
        <v>2196</v>
      </c>
      <c r="D10" s="937">
        <f>'AT3C_cvrg(Insti)_UPY '!L12</f>
        <v>272</v>
      </c>
      <c r="E10" s="937">
        <f>'AT3B_cvrg(Insti)_UPY '!L12</f>
        <v>233</v>
      </c>
      <c r="F10" s="937">
        <f t="shared" ref="F10:F21" si="0">C10+D10+E10</f>
        <v>2701</v>
      </c>
      <c r="G10" s="965">
        <f>'AT3A_cvrg(Insti)_PY'!L13+'AT3B_cvrg(Insti)_UPY '!L12+'AT3C_cvrg(Insti)_UPY '!L12</f>
        <v>2701</v>
      </c>
      <c r="H10" s="965">
        <f>F10-G10</f>
        <v>0</v>
      </c>
    </row>
    <row r="11" spans="1:8" s="378" customFormat="1" ht="27" customHeight="1" x14ac:dyDescent="0.2">
      <c r="A11" s="120">
        <v>3</v>
      </c>
      <c r="B11" s="130" t="s">
        <v>649</v>
      </c>
      <c r="C11" s="937">
        <f>'AT3A_cvrg(Insti)_PY'!L14</f>
        <v>3230</v>
      </c>
      <c r="D11" s="937">
        <f>'AT3C_cvrg(Insti)_UPY '!L13</f>
        <v>334</v>
      </c>
      <c r="E11" s="937">
        <f>'AT3B_cvrg(Insti)_UPY '!L13</f>
        <v>299</v>
      </c>
      <c r="F11" s="937">
        <f t="shared" si="0"/>
        <v>3863</v>
      </c>
      <c r="G11" s="965">
        <f>'AT3A_cvrg(Insti)_PY'!L14+'AT3B_cvrg(Insti)_UPY '!L13+'AT3C_cvrg(Insti)_UPY '!L13</f>
        <v>3863</v>
      </c>
      <c r="H11" s="965">
        <f>F11-G11</f>
        <v>0</v>
      </c>
    </row>
    <row r="12" spans="1:8" s="378" customFormat="1" ht="27" customHeight="1" x14ac:dyDescent="0.2">
      <c r="A12" s="120">
        <v>4</v>
      </c>
      <c r="B12" s="130" t="s">
        <v>650</v>
      </c>
      <c r="C12" s="937">
        <f>'AT3A_cvrg(Insti)_PY'!L15</f>
        <v>3309</v>
      </c>
      <c r="D12" s="937">
        <f>'AT3C_cvrg(Insti)_UPY '!L14</f>
        <v>581</v>
      </c>
      <c r="E12" s="937">
        <f>'AT3B_cvrg(Insti)_UPY '!L14</f>
        <v>374</v>
      </c>
      <c r="F12" s="937">
        <f t="shared" si="0"/>
        <v>4264</v>
      </c>
      <c r="G12" s="965">
        <f>'AT3A_cvrg(Insti)_PY'!L15+'AT3B_cvrg(Insti)_UPY '!L14+'AT3C_cvrg(Insti)_UPY '!L14</f>
        <v>4264</v>
      </c>
      <c r="H12" s="937">
        <f t="shared" ref="H12:H21" si="1">F12-G12</f>
        <v>0</v>
      </c>
    </row>
    <row r="13" spans="1:8" s="378" customFormat="1" ht="27" customHeight="1" x14ac:dyDescent="0.2">
      <c r="A13" s="120">
        <v>5</v>
      </c>
      <c r="B13" s="130" t="s">
        <v>651</v>
      </c>
      <c r="C13" s="937">
        <f>'AT3A_cvrg(Insti)_PY'!L16</f>
        <v>2550</v>
      </c>
      <c r="D13" s="937">
        <f>'AT3C_cvrg(Insti)_UPY '!L15</f>
        <v>445</v>
      </c>
      <c r="E13" s="937">
        <f>'AT3B_cvrg(Insti)_UPY '!L15</f>
        <v>247</v>
      </c>
      <c r="F13" s="937">
        <f t="shared" si="0"/>
        <v>3242</v>
      </c>
      <c r="G13" s="965">
        <f>'AT3A_cvrg(Insti)_PY'!L16+'AT3B_cvrg(Insti)_UPY '!L15+'AT3C_cvrg(Insti)_UPY '!L15</f>
        <v>3242</v>
      </c>
      <c r="H13" s="937">
        <f t="shared" si="1"/>
        <v>0</v>
      </c>
    </row>
    <row r="14" spans="1:8" s="378" customFormat="1" ht="27" customHeight="1" x14ac:dyDescent="0.2">
      <c r="A14" s="120">
        <v>6</v>
      </c>
      <c r="B14" s="130" t="s">
        <v>652</v>
      </c>
      <c r="C14" s="937">
        <f>'AT3A_cvrg(Insti)_PY'!L17</f>
        <v>2207</v>
      </c>
      <c r="D14" s="937">
        <f>'AT3C_cvrg(Insti)_UPY '!L16</f>
        <v>437</v>
      </c>
      <c r="E14" s="937">
        <f>'AT3B_cvrg(Insti)_UPY '!L16</f>
        <v>476</v>
      </c>
      <c r="F14" s="937">
        <f t="shared" si="0"/>
        <v>3120</v>
      </c>
      <c r="G14" s="965">
        <f>'AT3A_cvrg(Insti)_PY'!L17+'AT3B_cvrg(Insti)_UPY '!L16+'AT3C_cvrg(Insti)_UPY '!L16</f>
        <v>3120</v>
      </c>
      <c r="H14" s="965">
        <f>F14-G14</f>
        <v>0</v>
      </c>
    </row>
    <row r="15" spans="1:8" s="378" customFormat="1" ht="27" customHeight="1" x14ac:dyDescent="0.2">
      <c r="A15" s="120">
        <v>7</v>
      </c>
      <c r="B15" s="130" t="s">
        <v>653</v>
      </c>
      <c r="C15" s="937">
        <f>'AT3A_cvrg(Insti)_PY'!L18</f>
        <v>2721</v>
      </c>
      <c r="D15" s="937">
        <f>'AT3C_cvrg(Insti)_UPY '!L17</f>
        <v>460</v>
      </c>
      <c r="E15" s="937">
        <f>'AT3B_cvrg(Insti)_UPY '!L17</f>
        <v>316</v>
      </c>
      <c r="F15" s="937">
        <f t="shared" si="0"/>
        <v>3497</v>
      </c>
      <c r="G15" s="965">
        <f>'AT3A_cvrg(Insti)_PY'!L18+'AT3B_cvrg(Insti)_UPY '!L17+'AT3C_cvrg(Insti)_UPY '!L17</f>
        <v>3497</v>
      </c>
      <c r="H15" s="937">
        <f t="shared" si="1"/>
        <v>0</v>
      </c>
    </row>
    <row r="16" spans="1:8" s="378" customFormat="1" ht="27" customHeight="1" x14ac:dyDescent="0.2">
      <c r="A16" s="120">
        <v>8</v>
      </c>
      <c r="B16" s="130" t="s">
        <v>654</v>
      </c>
      <c r="C16" s="937">
        <f>'AT3A_cvrg(Insti)_PY'!L19</f>
        <v>2595</v>
      </c>
      <c r="D16" s="937">
        <f>'AT3C_cvrg(Insti)_UPY '!L18</f>
        <v>425</v>
      </c>
      <c r="E16" s="937">
        <f>'AT3B_cvrg(Insti)_UPY '!L18</f>
        <v>347</v>
      </c>
      <c r="F16" s="937">
        <f t="shared" si="0"/>
        <v>3367</v>
      </c>
      <c r="G16" s="965">
        <f>'AT3A_cvrg(Insti)_PY'!L19+'AT3B_cvrg(Insti)_UPY '!L18+'AT3C_cvrg(Insti)_UPY '!L18</f>
        <v>3367</v>
      </c>
      <c r="H16" s="937">
        <f t="shared" si="1"/>
        <v>0</v>
      </c>
    </row>
    <row r="17" spans="1:8" s="378" customFormat="1" ht="27" customHeight="1" x14ac:dyDescent="0.2">
      <c r="A17" s="120">
        <v>9</v>
      </c>
      <c r="B17" s="130" t="s">
        <v>655</v>
      </c>
      <c r="C17" s="937">
        <f>'AT3A_cvrg(Insti)_PY'!L20</f>
        <v>2686</v>
      </c>
      <c r="D17" s="937">
        <f>'AT3C_cvrg(Insti)_UPY '!L19</f>
        <v>374</v>
      </c>
      <c r="E17" s="937">
        <f>'AT3B_cvrg(Insti)_UPY '!L19</f>
        <v>365</v>
      </c>
      <c r="F17" s="937">
        <f t="shared" si="0"/>
        <v>3425</v>
      </c>
      <c r="G17" s="965">
        <f>'AT3A_cvrg(Insti)_PY'!L20+'AT3B_cvrg(Insti)_UPY '!L19+'AT3C_cvrg(Insti)_UPY '!L19</f>
        <v>3425</v>
      </c>
      <c r="H17" s="937">
        <f t="shared" si="1"/>
        <v>0</v>
      </c>
    </row>
    <row r="18" spans="1:8" s="378" customFormat="1" ht="27" customHeight="1" x14ac:dyDescent="0.2">
      <c r="A18" s="120">
        <v>10</v>
      </c>
      <c r="B18" s="130" t="s">
        <v>656</v>
      </c>
      <c r="C18" s="937">
        <f>'AT3A_cvrg(Insti)_PY'!L21</f>
        <v>3741</v>
      </c>
      <c r="D18" s="937">
        <f>'AT3C_cvrg(Insti)_UPY '!L20</f>
        <v>624</v>
      </c>
      <c r="E18" s="937">
        <f>'AT3B_cvrg(Insti)_UPY '!L20</f>
        <v>451</v>
      </c>
      <c r="F18" s="937">
        <f t="shared" si="0"/>
        <v>4816</v>
      </c>
      <c r="G18" s="965">
        <f>'AT3A_cvrg(Insti)_PY'!L21+'AT3B_cvrg(Insti)_UPY '!L20+'AT3C_cvrg(Insti)_UPY '!L20</f>
        <v>4816</v>
      </c>
      <c r="H18" s="937">
        <f t="shared" si="1"/>
        <v>0</v>
      </c>
    </row>
    <row r="19" spans="1:8" s="378" customFormat="1" ht="27" customHeight="1" x14ac:dyDescent="0.2">
      <c r="A19" s="120">
        <v>11</v>
      </c>
      <c r="B19" s="130" t="s">
        <v>657</v>
      </c>
      <c r="C19" s="937">
        <f>'AT3A_cvrg(Insti)_PY'!L22</f>
        <v>2660</v>
      </c>
      <c r="D19" s="937">
        <f>'AT3C_cvrg(Insti)_UPY '!L21</f>
        <v>381</v>
      </c>
      <c r="E19" s="937">
        <f>'AT3B_cvrg(Insti)_UPY '!L21</f>
        <v>328</v>
      </c>
      <c r="F19" s="937">
        <f t="shared" si="0"/>
        <v>3369</v>
      </c>
      <c r="G19" s="965">
        <f>'AT3A_cvrg(Insti)_PY'!L22+'AT3B_cvrg(Insti)_UPY '!L21+'AT3C_cvrg(Insti)_UPY '!L21</f>
        <v>3369</v>
      </c>
      <c r="H19" s="937">
        <f t="shared" si="1"/>
        <v>0</v>
      </c>
    </row>
    <row r="20" spans="1:8" s="378" customFormat="1" ht="27" customHeight="1" x14ac:dyDescent="0.2">
      <c r="A20" s="120">
        <v>12</v>
      </c>
      <c r="B20" s="130" t="s">
        <v>658</v>
      </c>
      <c r="C20" s="937">
        <f>'AT3A_cvrg(Insti)_PY'!L23</f>
        <v>2687</v>
      </c>
      <c r="D20" s="937">
        <f>'AT3C_cvrg(Insti)_UPY '!L22</f>
        <v>528</v>
      </c>
      <c r="E20" s="937">
        <f>'AT3B_cvrg(Insti)_UPY '!L22</f>
        <v>603</v>
      </c>
      <c r="F20" s="937">
        <f t="shared" si="0"/>
        <v>3818</v>
      </c>
      <c r="G20" s="965">
        <f>'AT3A_cvrg(Insti)_PY'!L23+'AT3B_cvrg(Insti)_UPY '!L22+'AT3C_cvrg(Insti)_UPY '!L22</f>
        <v>3818</v>
      </c>
      <c r="H20" s="937">
        <f t="shared" si="1"/>
        <v>0</v>
      </c>
    </row>
    <row r="21" spans="1:8" s="378" customFormat="1" ht="27" customHeight="1" x14ac:dyDescent="0.2">
      <c r="A21" s="120">
        <v>13</v>
      </c>
      <c r="B21" s="130" t="s">
        <v>659</v>
      </c>
      <c r="C21" s="937">
        <f>'AT3A_cvrg(Insti)_PY'!L24</f>
        <v>1944</v>
      </c>
      <c r="D21" s="937">
        <f>'AT3C_cvrg(Insti)_UPY '!L23</f>
        <v>458</v>
      </c>
      <c r="E21" s="937">
        <f>'AT3B_cvrg(Insti)_UPY '!L23</f>
        <v>467</v>
      </c>
      <c r="F21" s="937">
        <f t="shared" si="0"/>
        <v>2869</v>
      </c>
      <c r="G21" s="965">
        <f>'AT3A_cvrg(Insti)_PY'!L24+'AT3B_cvrg(Insti)_UPY '!L23+'AT3C_cvrg(Insti)_UPY '!L23</f>
        <v>2869</v>
      </c>
      <c r="H21" s="937">
        <f t="shared" si="1"/>
        <v>0</v>
      </c>
    </row>
    <row r="22" spans="1:8" s="379" customFormat="1" ht="27" customHeight="1" x14ac:dyDescent="0.25">
      <c r="A22" s="1191" t="s">
        <v>660</v>
      </c>
      <c r="B22" s="1192"/>
      <c r="C22" s="966">
        <f>SUM(C9:C21)</f>
        <v>34876</v>
      </c>
      <c r="D22" s="966">
        <f t="shared" ref="D22:F22" si="2">SUM(D9:D21)</f>
        <v>5698</v>
      </c>
      <c r="E22" s="966">
        <f t="shared" si="2"/>
        <v>4931</v>
      </c>
      <c r="F22" s="966">
        <f t="shared" si="2"/>
        <v>45505</v>
      </c>
      <c r="G22" s="966">
        <f t="shared" ref="G22:H22" si="3">SUM(G9:G21)</f>
        <v>45505</v>
      </c>
      <c r="H22" s="966">
        <f t="shared" si="3"/>
        <v>0</v>
      </c>
    </row>
    <row r="23" spans="1:8" x14ac:dyDescent="0.2">
      <c r="A23" s="380" t="s">
        <v>256</v>
      </c>
    </row>
    <row r="24" spans="1:8" x14ac:dyDescent="0.2">
      <c r="G24" s="639"/>
    </row>
    <row r="26" spans="1:8" s="132" customFormat="1" ht="63" customHeight="1" x14ac:dyDescent="0.2">
      <c r="A26" s="1142" t="s">
        <v>9</v>
      </c>
      <c r="B26" s="1142"/>
      <c r="C26" s="1142"/>
      <c r="D26" s="1142"/>
      <c r="E26" s="381"/>
      <c r="F26" s="1142" t="s">
        <v>646</v>
      </c>
      <c r="G26" s="1142"/>
      <c r="H26" s="1142"/>
    </row>
  </sheetData>
  <mergeCells count="7">
    <mergeCell ref="A22:B22"/>
    <mergeCell ref="A26:D26"/>
    <mergeCell ref="F26:H26"/>
    <mergeCell ref="A1:G1"/>
    <mergeCell ref="A2:H2"/>
    <mergeCell ref="A4:H4"/>
    <mergeCell ref="G6:H6"/>
  </mergeCells>
  <printOptions horizontalCentered="1"/>
  <pageMargins left="0.70866141732283472" right="0.19685039370078741" top="0.23622047244094491" bottom="0" header="0.31496062992125984" footer="0.31496062992125984"/>
  <pageSetup paperSize="9" scale="85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P23"/>
  <sheetViews>
    <sheetView view="pageBreakPreview" zoomScale="60" workbookViewId="0">
      <selection activeCell="A14" sqref="A14:B14"/>
    </sheetView>
  </sheetViews>
  <sheetFormatPr defaultRowHeight="12.75" x14ac:dyDescent="0.2"/>
  <cols>
    <col min="1" max="1" width="5.42578125" style="560" customWidth="1"/>
    <col min="2" max="2" width="22.28515625" style="560" customWidth="1"/>
    <col min="3" max="3" width="8.85546875" style="560" customWidth="1"/>
    <col min="4" max="4" width="9.140625" style="560" customWidth="1"/>
    <col min="5" max="5" width="8.42578125" style="560" customWidth="1"/>
    <col min="6" max="6" width="9.28515625" style="560" customWidth="1"/>
    <col min="7" max="8" width="8.42578125" style="560" customWidth="1"/>
    <col min="9" max="9" width="10.5703125" style="560" customWidth="1"/>
    <col min="10" max="11" width="8.85546875" style="560" customWidth="1"/>
    <col min="12" max="13" width="9.5703125" style="560" customWidth="1"/>
    <col min="14" max="14" width="8.42578125" style="560" customWidth="1"/>
    <col min="15" max="16" width="9.140625" style="560" customWidth="1"/>
    <col min="17" max="17" width="8.42578125" style="560" customWidth="1"/>
    <col min="18" max="18" width="10.28515625" style="560" customWidth="1"/>
    <col min="19" max="19" width="9.42578125" style="560" customWidth="1"/>
    <col min="20" max="20" width="9.140625" style="560" customWidth="1"/>
    <col min="21" max="21" width="10.5703125" style="560" customWidth="1"/>
    <col min="22" max="22" width="9.5703125" style="560" customWidth="1"/>
    <col min="23" max="23" width="10.28515625" style="560" customWidth="1"/>
    <col min="24" max="24" width="9.85546875" style="560" bestFit="1" customWidth="1"/>
    <col min="25" max="25" width="9.140625" style="560"/>
    <col min="26" max="26" width="14.140625" style="560" customWidth="1"/>
    <col min="27" max="16384" width="9.140625" style="560"/>
  </cols>
  <sheetData>
    <row r="1" spans="1:172" ht="15" x14ac:dyDescent="0.2">
      <c r="O1" s="1640" t="s">
        <v>551</v>
      </c>
      <c r="P1" s="1640"/>
      <c r="Q1" s="1640"/>
      <c r="R1" s="1640"/>
      <c r="S1" s="1640"/>
      <c r="T1" s="1640"/>
      <c r="U1" s="1640"/>
    </row>
    <row r="2" spans="1:172" ht="15.75" x14ac:dyDescent="0.25">
      <c r="F2" s="640" t="s">
        <v>0</v>
      </c>
      <c r="G2" s="640"/>
      <c r="H2" s="640"/>
      <c r="I2" s="641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</row>
    <row r="3" spans="1:172" ht="15.75" x14ac:dyDescent="0.25">
      <c r="F3" s="640"/>
      <c r="G3" s="640"/>
      <c r="H3" s="640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</row>
    <row r="4" spans="1:172" ht="18" x14ac:dyDescent="0.25">
      <c r="B4" s="1641" t="s">
        <v>793</v>
      </c>
      <c r="C4" s="1641"/>
      <c r="D4" s="1641"/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1"/>
      <c r="Q4" s="1641"/>
      <c r="R4" s="1641"/>
      <c r="S4" s="1641"/>
      <c r="T4" s="1641"/>
      <c r="U4" s="1641"/>
    </row>
    <row r="6" spans="1:172" ht="15.75" x14ac:dyDescent="0.25">
      <c r="B6" s="1642" t="s">
        <v>912</v>
      </c>
      <c r="C6" s="1642"/>
      <c r="D6" s="1642"/>
      <c r="E6" s="1642"/>
      <c r="F6" s="1642"/>
      <c r="G6" s="1642"/>
      <c r="H6" s="1642"/>
      <c r="I6" s="1642"/>
      <c r="J6" s="1642"/>
      <c r="K6" s="1642"/>
      <c r="L6" s="1642"/>
      <c r="M6" s="1642"/>
      <c r="N6" s="1642"/>
      <c r="O6" s="1642"/>
      <c r="P6" s="1642"/>
      <c r="Q6" s="1642"/>
      <c r="R6" s="1642"/>
      <c r="S6" s="1642"/>
      <c r="T6" s="1642"/>
      <c r="U6" s="1642"/>
    </row>
    <row r="8" spans="1:172" x14ac:dyDescent="0.2">
      <c r="A8" s="1643" t="s">
        <v>661</v>
      </c>
      <c r="B8" s="1643"/>
      <c r="C8" s="1643"/>
    </row>
    <row r="9" spans="1:172" ht="18" x14ac:dyDescent="0.25">
      <c r="A9" s="642"/>
      <c r="B9" s="642"/>
      <c r="V9" s="1644" t="s">
        <v>237</v>
      </c>
      <c r="W9" s="1644"/>
    </row>
    <row r="10" spans="1:172" ht="12.75" customHeight="1" x14ac:dyDescent="0.2">
      <c r="A10" s="1645" t="s">
        <v>2</v>
      </c>
      <c r="B10" s="1645" t="s">
        <v>101</v>
      </c>
      <c r="C10" s="1647" t="s">
        <v>18</v>
      </c>
      <c r="D10" s="1648"/>
      <c r="E10" s="1648"/>
      <c r="F10" s="1648"/>
      <c r="G10" s="1648"/>
      <c r="H10" s="1648"/>
      <c r="I10" s="1648"/>
      <c r="J10" s="1648"/>
      <c r="K10" s="1649"/>
      <c r="L10" s="1647" t="s">
        <v>19</v>
      </c>
      <c r="M10" s="1648"/>
      <c r="N10" s="1648"/>
      <c r="O10" s="1648"/>
      <c r="P10" s="1648"/>
      <c r="Q10" s="1648"/>
      <c r="R10" s="1648"/>
      <c r="S10" s="1648"/>
      <c r="T10" s="1649"/>
      <c r="U10" s="1650" t="s">
        <v>129</v>
      </c>
      <c r="V10" s="1651"/>
      <c r="W10" s="1652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  <c r="AU10" s="643"/>
      <c r="AV10" s="643"/>
      <c r="AW10" s="643"/>
      <c r="AX10" s="643"/>
      <c r="AY10" s="643"/>
      <c r="AZ10" s="643"/>
      <c r="BA10" s="643"/>
      <c r="BB10" s="643"/>
      <c r="BC10" s="643"/>
      <c r="BD10" s="643"/>
      <c r="BE10" s="643"/>
      <c r="BF10" s="643"/>
      <c r="BG10" s="643"/>
      <c r="BH10" s="643"/>
      <c r="BI10" s="643"/>
      <c r="BJ10" s="643"/>
      <c r="BK10" s="643"/>
      <c r="BL10" s="643"/>
      <c r="BM10" s="643"/>
      <c r="BN10" s="643"/>
      <c r="BO10" s="643"/>
      <c r="BP10" s="643"/>
      <c r="BQ10" s="643"/>
      <c r="BR10" s="643"/>
      <c r="BS10" s="643"/>
      <c r="BT10" s="643"/>
      <c r="BU10" s="643"/>
      <c r="BV10" s="643"/>
      <c r="BW10" s="643"/>
      <c r="BX10" s="643"/>
      <c r="BY10" s="643"/>
      <c r="BZ10" s="643"/>
      <c r="CA10" s="643"/>
      <c r="CB10" s="643"/>
      <c r="CC10" s="643"/>
      <c r="CD10" s="643"/>
      <c r="CE10" s="643"/>
      <c r="CF10" s="643"/>
      <c r="CG10" s="643"/>
      <c r="CH10" s="643"/>
      <c r="CI10" s="643"/>
      <c r="CJ10" s="643"/>
      <c r="CK10" s="643"/>
      <c r="CL10" s="643"/>
      <c r="CM10" s="643"/>
      <c r="CN10" s="643"/>
      <c r="CO10" s="643"/>
      <c r="CP10" s="643"/>
      <c r="CQ10" s="643"/>
      <c r="CR10" s="643"/>
      <c r="CS10" s="643"/>
      <c r="CT10" s="643"/>
      <c r="CU10" s="643"/>
      <c r="CV10" s="643"/>
      <c r="CW10" s="643"/>
      <c r="CX10" s="643"/>
      <c r="CY10" s="643"/>
      <c r="CZ10" s="643"/>
      <c r="DA10" s="643"/>
      <c r="DB10" s="643"/>
      <c r="DC10" s="643"/>
      <c r="DD10" s="643"/>
      <c r="DE10" s="643"/>
      <c r="DF10" s="643"/>
      <c r="DG10" s="643"/>
      <c r="DH10" s="643"/>
      <c r="DI10" s="643"/>
      <c r="DJ10" s="643"/>
      <c r="DK10" s="643"/>
      <c r="DL10" s="643"/>
      <c r="DM10" s="643"/>
      <c r="DN10" s="643"/>
      <c r="DO10" s="643"/>
      <c r="DP10" s="643"/>
      <c r="DQ10" s="643"/>
      <c r="DR10" s="643"/>
      <c r="DS10" s="643"/>
      <c r="DT10" s="643"/>
      <c r="DU10" s="643"/>
      <c r="DV10" s="643"/>
      <c r="DW10" s="643"/>
      <c r="DX10" s="643"/>
      <c r="DY10" s="643"/>
      <c r="DZ10" s="643"/>
      <c r="EA10" s="643"/>
      <c r="EB10" s="643"/>
      <c r="EC10" s="643"/>
      <c r="ED10" s="643"/>
      <c r="EE10" s="643"/>
      <c r="EF10" s="643"/>
      <c r="EG10" s="643"/>
      <c r="EH10" s="643"/>
      <c r="EI10" s="643"/>
      <c r="EJ10" s="643"/>
      <c r="EK10" s="643"/>
      <c r="EL10" s="643"/>
      <c r="EM10" s="643"/>
      <c r="EN10" s="643"/>
      <c r="EO10" s="643"/>
      <c r="EP10" s="643"/>
      <c r="EQ10" s="643"/>
      <c r="ER10" s="643"/>
      <c r="ES10" s="643"/>
      <c r="ET10" s="643"/>
      <c r="EU10" s="643"/>
      <c r="EV10" s="643"/>
      <c r="EW10" s="643"/>
      <c r="EX10" s="643"/>
      <c r="EY10" s="643"/>
      <c r="EZ10" s="643"/>
      <c r="FA10" s="643"/>
      <c r="FB10" s="643"/>
      <c r="FC10" s="643"/>
      <c r="FD10" s="643"/>
      <c r="FE10" s="643"/>
      <c r="FF10" s="643"/>
      <c r="FG10" s="643"/>
      <c r="FH10" s="643"/>
      <c r="FI10" s="643"/>
      <c r="FJ10" s="643"/>
      <c r="FK10" s="643"/>
      <c r="FL10" s="643"/>
      <c r="FM10" s="643"/>
      <c r="FN10" s="643"/>
      <c r="FO10" s="643"/>
      <c r="FP10" s="643"/>
    </row>
    <row r="11" spans="1:172" ht="12.75" customHeight="1" x14ac:dyDescent="0.2">
      <c r="A11" s="1646"/>
      <c r="B11" s="1646"/>
      <c r="C11" s="1637" t="s">
        <v>159</v>
      </c>
      <c r="D11" s="1638"/>
      <c r="E11" s="1639"/>
      <c r="F11" s="1637" t="s">
        <v>160</v>
      </c>
      <c r="G11" s="1638"/>
      <c r="H11" s="1639"/>
      <c r="I11" s="1637" t="s">
        <v>13</v>
      </c>
      <c r="J11" s="1638"/>
      <c r="K11" s="1639"/>
      <c r="L11" s="1637" t="s">
        <v>159</v>
      </c>
      <c r="M11" s="1638"/>
      <c r="N11" s="1639"/>
      <c r="O11" s="1637" t="s">
        <v>160</v>
      </c>
      <c r="P11" s="1638"/>
      <c r="Q11" s="1639"/>
      <c r="R11" s="1637" t="s">
        <v>13</v>
      </c>
      <c r="S11" s="1638"/>
      <c r="T11" s="1639"/>
      <c r="U11" s="1653"/>
      <c r="V11" s="1654"/>
      <c r="W11" s="1655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3"/>
      <c r="BS11" s="643"/>
      <c r="BT11" s="643"/>
      <c r="BU11" s="643"/>
      <c r="BV11" s="643"/>
      <c r="BW11" s="643"/>
      <c r="BX11" s="643"/>
      <c r="BY11" s="643"/>
      <c r="BZ11" s="643"/>
      <c r="CA11" s="643"/>
      <c r="CB11" s="643"/>
      <c r="CC11" s="643"/>
      <c r="CD11" s="643"/>
      <c r="CE11" s="643"/>
      <c r="CF11" s="643"/>
      <c r="CG11" s="643"/>
      <c r="CH11" s="643"/>
      <c r="CI11" s="643"/>
      <c r="CJ11" s="643"/>
      <c r="CK11" s="643"/>
      <c r="CL11" s="643"/>
      <c r="CM11" s="643"/>
      <c r="CN11" s="643"/>
      <c r="CO11" s="643"/>
      <c r="CP11" s="643"/>
      <c r="CQ11" s="643"/>
      <c r="CR11" s="643"/>
      <c r="CS11" s="643"/>
      <c r="CT11" s="643"/>
      <c r="CU11" s="643"/>
      <c r="CV11" s="643"/>
      <c r="CW11" s="643"/>
      <c r="CX11" s="643"/>
      <c r="CY11" s="643"/>
      <c r="CZ11" s="643"/>
      <c r="DA11" s="643"/>
      <c r="DB11" s="643"/>
      <c r="DC11" s="643"/>
      <c r="DD11" s="643"/>
      <c r="DE11" s="643"/>
      <c r="DF11" s="643"/>
      <c r="DG11" s="643"/>
      <c r="DH11" s="643"/>
      <c r="DI11" s="643"/>
      <c r="DJ11" s="643"/>
      <c r="DK11" s="643"/>
      <c r="DL11" s="643"/>
      <c r="DM11" s="643"/>
      <c r="DN11" s="643"/>
      <c r="DO11" s="643"/>
      <c r="DP11" s="643"/>
      <c r="DQ11" s="643"/>
      <c r="DR11" s="643"/>
      <c r="DS11" s="643"/>
      <c r="DT11" s="643"/>
      <c r="DU11" s="643"/>
      <c r="DV11" s="643"/>
      <c r="DW11" s="643"/>
      <c r="DX11" s="643"/>
      <c r="DY11" s="643"/>
      <c r="DZ11" s="643"/>
      <c r="EA11" s="643"/>
      <c r="EB11" s="643"/>
      <c r="EC11" s="643"/>
      <c r="ED11" s="643"/>
      <c r="EE11" s="643"/>
      <c r="EF11" s="643"/>
      <c r="EG11" s="643"/>
      <c r="EH11" s="643"/>
      <c r="EI11" s="643"/>
      <c r="EJ11" s="643"/>
      <c r="EK11" s="643"/>
      <c r="EL11" s="643"/>
      <c r="EM11" s="643"/>
      <c r="EN11" s="643"/>
      <c r="EO11" s="643"/>
      <c r="EP11" s="643"/>
      <c r="EQ11" s="643"/>
      <c r="ER11" s="643"/>
      <c r="ES11" s="643"/>
      <c r="ET11" s="643"/>
      <c r="EU11" s="643"/>
      <c r="EV11" s="643"/>
      <c r="EW11" s="643"/>
      <c r="EX11" s="643"/>
      <c r="EY11" s="643"/>
      <c r="EZ11" s="643"/>
      <c r="FA11" s="643"/>
      <c r="FB11" s="643"/>
      <c r="FC11" s="643"/>
      <c r="FD11" s="643"/>
      <c r="FE11" s="643"/>
      <c r="FF11" s="643"/>
      <c r="FG11" s="643"/>
      <c r="FH11" s="643"/>
      <c r="FI11" s="643"/>
      <c r="FJ11" s="643"/>
      <c r="FK11" s="643"/>
      <c r="FL11" s="643"/>
      <c r="FM11" s="643"/>
      <c r="FN11" s="643"/>
      <c r="FO11" s="643"/>
      <c r="FP11" s="643"/>
    </row>
    <row r="12" spans="1:172" ht="21" customHeight="1" x14ac:dyDescent="0.2">
      <c r="A12" s="565"/>
      <c r="B12" s="565"/>
      <c r="C12" s="1093" t="s">
        <v>238</v>
      </c>
      <c r="D12" s="1094" t="s">
        <v>35</v>
      </c>
      <c r="E12" s="1095" t="s">
        <v>36</v>
      </c>
      <c r="F12" s="1093" t="s">
        <v>238</v>
      </c>
      <c r="G12" s="1094" t="s">
        <v>35</v>
      </c>
      <c r="H12" s="1095" t="s">
        <v>36</v>
      </c>
      <c r="I12" s="1093" t="s">
        <v>238</v>
      </c>
      <c r="J12" s="1094" t="s">
        <v>35</v>
      </c>
      <c r="K12" s="1095" t="s">
        <v>36</v>
      </c>
      <c r="L12" s="1093" t="s">
        <v>238</v>
      </c>
      <c r="M12" s="1094" t="s">
        <v>35</v>
      </c>
      <c r="N12" s="1095" t="s">
        <v>36</v>
      </c>
      <c r="O12" s="1093" t="s">
        <v>238</v>
      </c>
      <c r="P12" s="1094" t="s">
        <v>35</v>
      </c>
      <c r="Q12" s="1095" t="s">
        <v>36</v>
      </c>
      <c r="R12" s="1093" t="s">
        <v>238</v>
      </c>
      <c r="S12" s="1094" t="s">
        <v>35</v>
      </c>
      <c r="T12" s="1095" t="s">
        <v>36</v>
      </c>
      <c r="U12" s="565" t="s">
        <v>238</v>
      </c>
      <c r="V12" s="565" t="s">
        <v>35</v>
      </c>
      <c r="W12" s="565" t="s">
        <v>36</v>
      </c>
      <c r="X12" s="643"/>
      <c r="Y12" s="643"/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  <c r="AU12" s="643"/>
      <c r="AV12" s="643"/>
      <c r="AW12" s="643"/>
      <c r="AX12" s="643"/>
      <c r="AY12" s="643"/>
      <c r="AZ12" s="643"/>
      <c r="BA12" s="643"/>
      <c r="BB12" s="643"/>
      <c r="BC12" s="643"/>
      <c r="BD12" s="643"/>
      <c r="BE12" s="643"/>
      <c r="BF12" s="643"/>
      <c r="BG12" s="643"/>
      <c r="BH12" s="643"/>
      <c r="BI12" s="643"/>
      <c r="BJ12" s="643"/>
      <c r="BK12" s="643"/>
      <c r="BL12" s="643"/>
      <c r="BM12" s="643"/>
      <c r="BN12" s="643"/>
      <c r="BO12" s="643"/>
      <c r="BP12" s="643"/>
      <c r="BQ12" s="643"/>
      <c r="BR12" s="643"/>
      <c r="BS12" s="643"/>
      <c r="BT12" s="643"/>
      <c r="BU12" s="643"/>
      <c r="BV12" s="643"/>
      <c r="BW12" s="643"/>
      <c r="BX12" s="643"/>
      <c r="BY12" s="643"/>
      <c r="BZ12" s="643"/>
      <c r="CA12" s="643"/>
      <c r="CB12" s="643"/>
      <c r="CC12" s="643"/>
      <c r="CD12" s="643"/>
      <c r="CE12" s="643"/>
      <c r="CF12" s="643"/>
      <c r="CG12" s="643"/>
      <c r="CH12" s="643"/>
      <c r="CI12" s="643"/>
      <c r="CJ12" s="643"/>
      <c r="CK12" s="643"/>
      <c r="CL12" s="643"/>
      <c r="CM12" s="643"/>
      <c r="CN12" s="643"/>
      <c r="CO12" s="643"/>
      <c r="CP12" s="643"/>
      <c r="CQ12" s="643"/>
      <c r="CR12" s="643"/>
      <c r="CS12" s="643"/>
      <c r="CT12" s="643"/>
      <c r="CU12" s="643"/>
      <c r="CV12" s="643"/>
      <c r="CW12" s="643"/>
      <c r="CX12" s="643"/>
      <c r="CY12" s="643"/>
      <c r="CZ12" s="643"/>
      <c r="DA12" s="643"/>
      <c r="DB12" s="643"/>
      <c r="DC12" s="643"/>
      <c r="DD12" s="643"/>
      <c r="DE12" s="643"/>
      <c r="DF12" s="643"/>
      <c r="DG12" s="643"/>
      <c r="DH12" s="643"/>
      <c r="DI12" s="643"/>
      <c r="DJ12" s="643"/>
      <c r="DK12" s="643"/>
      <c r="DL12" s="643"/>
      <c r="DM12" s="643"/>
      <c r="DN12" s="643"/>
      <c r="DO12" s="643"/>
      <c r="DP12" s="643"/>
      <c r="DQ12" s="643"/>
      <c r="DR12" s="643"/>
      <c r="DS12" s="643"/>
      <c r="DT12" s="643"/>
      <c r="DU12" s="643"/>
      <c r="DV12" s="643"/>
      <c r="DW12" s="643"/>
      <c r="DX12" s="643"/>
      <c r="DY12" s="643"/>
      <c r="DZ12" s="643"/>
      <c r="EA12" s="643"/>
      <c r="EB12" s="643"/>
      <c r="EC12" s="643"/>
      <c r="ED12" s="643"/>
      <c r="EE12" s="643"/>
      <c r="EF12" s="643"/>
      <c r="EG12" s="643"/>
      <c r="EH12" s="643"/>
      <c r="EI12" s="643"/>
      <c r="EJ12" s="643"/>
      <c r="EK12" s="643"/>
      <c r="EL12" s="643"/>
      <c r="EM12" s="643"/>
      <c r="EN12" s="643"/>
      <c r="EO12" s="643"/>
      <c r="EP12" s="643"/>
      <c r="EQ12" s="643"/>
      <c r="ER12" s="643"/>
      <c r="ES12" s="643"/>
      <c r="ET12" s="643"/>
      <c r="EU12" s="643"/>
      <c r="EV12" s="643"/>
      <c r="EW12" s="643"/>
      <c r="EX12" s="643"/>
      <c r="EY12" s="643"/>
      <c r="EZ12" s="643"/>
      <c r="FA12" s="643"/>
      <c r="FB12" s="643"/>
      <c r="FC12" s="643"/>
      <c r="FD12" s="643"/>
      <c r="FE12" s="643"/>
      <c r="FF12" s="643"/>
      <c r="FG12" s="643"/>
      <c r="FH12" s="643"/>
      <c r="FI12" s="643"/>
      <c r="FJ12" s="643"/>
      <c r="FK12" s="643"/>
      <c r="FL12" s="643"/>
      <c r="FM12" s="643"/>
      <c r="FN12" s="643"/>
      <c r="FO12" s="643"/>
      <c r="FP12" s="643"/>
    </row>
    <row r="13" spans="1:172" ht="12.75" customHeight="1" x14ac:dyDescent="0.2">
      <c r="A13" s="565">
        <v>1</v>
      </c>
      <c r="B13" s="565">
        <v>2</v>
      </c>
      <c r="C13" s="565">
        <v>3</v>
      </c>
      <c r="D13" s="565">
        <v>4</v>
      </c>
      <c r="E13" s="565">
        <v>5</v>
      </c>
      <c r="F13" s="565">
        <v>7</v>
      </c>
      <c r="G13" s="565">
        <v>8</v>
      </c>
      <c r="H13" s="565">
        <v>9</v>
      </c>
      <c r="I13" s="565">
        <v>11</v>
      </c>
      <c r="J13" s="565">
        <v>12</v>
      </c>
      <c r="K13" s="565">
        <v>13</v>
      </c>
      <c r="L13" s="565">
        <v>15</v>
      </c>
      <c r="M13" s="565">
        <v>16</v>
      </c>
      <c r="N13" s="565">
        <v>17</v>
      </c>
      <c r="O13" s="565">
        <v>19</v>
      </c>
      <c r="P13" s="565">
        <v>20</v>
      </c>
      <c r="Q13" s="565">
        <v>21</v>
      </c>
      <c r="R13" s="565">
        <v>23</v>
      </c>
      <c r="S13" s="565">
        <v>24</v>
      </c>
      <c r="T13" s="565">
        <v>25</v>
      </c>
      <c r="U13" s="565">
        <v>27</v>
      </c>
      <c r="V13" s="565">
        <v>28</v>
      </c>
      <c r="W13" s="565">
        <v>29</v>
      </c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/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1"/>
      <c r="DG13" s="561"/>
      <c r="DH13" s="561"/>
      <c r="DI13" s="561"/>
      <c r="DJ13" s="561"/>
      <c r="DK13" s="561"/>
      <c r="DL13" s="561"/>
      <c r="DM13" s="561"/>
      <c r="DN13" s="561"/>
      <c r="DO13" s="561"/>
      <c r="DP13" s="561"/>
      <c r="DQ13" s="561"/>
      <c r="DR13" s="561"/>
      <c r="DS13" s="561"/>
      <c r="DT13" s="561"/>
      <c r="DU13" s="561"/>
      <c r="DV13" s="561"/>
      <c r="DW13" s="561"/>
      <c r="DX13" s="561"/>
      <c r="DY13" s="561"/>
      <c r="DZ13" s="561"/>
      <c r="EA13" s="561"/>
      <c r="EB13" s="561"/>
      <c r="EC13" s="561"/>
      <c r="ED13" s="561"/>
      <c r="EE13" s="561"/>
      <c r="EF13" s="561"/>
      <c r="EG13" s="561"/>
      <c r="EH13" s="561"/>
      <c r="EI13" s="561"/>
      <c r="EJ13" s="561"/>
      <c r="EK13" s="561"/>
      <c r="EL13" s="561"/>
      <c r="EM13" s="561"/>
      <c r="EN13" s="561"/>
      <c r="EO13" s="561"/>
      <c r="EP13" s="561"/>
      <c r="EQ13" s="561"/>
      <c r="ER13" s="561"/>
      <c r="ES13" s="561"/>
      <c r="ET13" s="561"/>
      <c r="EU13" s="561"/>
      <c r="EV13" s="561"/>
      <c r="EW13" s="561"/>
      <c r="EX13" s="561"/>
      <c r="EY13" s="561"/>
      <c r="EZ13" s="561"/>
      <c r="FA13" s="561"/>
      <c r="FB13" s="561"/>
      <c r="FC13" s="561"/>
      <c r="FD13" s="561"/>
      <c r="FE13" s="561"/>
      <c r="FF13" s="561"/>
      <c r="FG13" s="561"/>
      <c r="FH13" s="561"/>
      <c r="FI13" s="561"/>
      <c r="FJ13" s="561"/>
      <c r="FK13" s="561"/>
      <c r="FL13" s="561"/>
      <c r="FM13" s="561"/>
      <c r="FN13" s="561"/>
      <c r="FO13" s="561"/>
      <c r="FP13" s="561"/>
    </row>
    <row r="14" spans="1:172" s="567" customFormat="1" ht="57" customHeight="1" x14ac:dyDescent="0.2">
      <c r="A14" s="1699" t="s">
        <v>1015</v>
      </c>
      <c r="B14" s="1634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989"/>
      <c r="V14" s="989"/>
      <c r="W14" s="989"/>
    </row>
    <row r="15" spans="1:172" s="567" customFormat="1" ht="45.75" customHeight="1" x14ac:dyDescent="0.2">
      <c r="A15" s="1008">
        <v>1</v>
      </c>
      <c r="B15" s="645" t="s">
        <v>114</v>
      </c>
      <c r="C15" s="563">
        <v>0</v>
      </c>
      <c r="D15" s="563">
        <v>0</v>
      </c>
      <c r="E15" s="563">
        <v>0</v>
      </c>
      <c r="F15" s="563">
        <v>0</v>
      </c>
      <c r="G15" s="563">
        <v>0</v>
      </c>
      <c r="H15" s="563">
        <v>0</v>
      </c>
      <c r="I15" s="563">
        <v>0</v>
      </c>
      <c r="J15" s="563">
        <v>0</v>
      </c>
      <c r="K15" s="563">
        <v>0</v>
      </c>
      <c r="L15" s="563">
        <v>44.45</v>
      </c>
      <c r="M15" s="563">
        <v>11.66</v>
      </c>
      <c r="N15" s="563">
        <v>6.09</v>
      </c>
      <c r="O15" s="563">
        <v>0</v>
      </c>
      <c r="P15" s="563">
        <v>0</v>
      </c>
      <c r="Q15" s="563">
        <v>0</v>
      </c>
      <c r="R15" s="562">
        <v>44.45</v>
      </c>
      <c r="S15" s="562">
        <v>11.66</v>
      </c>
      <c r="T15" s="562">
        <v>6.09</v>
      </c>
      <c r="U15" s="563">
        <v>44.45</v>
      </c>
      <c r="V15" s="563">
        <v>11.66</v>
      </c>
      <c r="W15" s="563">
        <v>6.09</v>
      </c>
    </row>
    <row r="16" spans="1:172" s="567" customFormat="1" ht="45.75" customHeight="1" x14ac:dyDescent="0.2">
      <c r="A16" s="1008">
        <v>2</v>
      </c>
      <c r="B16" s="646" t="s">
        <v>462</v>
      </c>
      <c r="C16" s="563">
        <v>0</v>
      </c>
      <c r="D16" s="563">
        <v>0</v>
      </c>
      <c r="E16" s="563">
        <v>0</v>
      </c>
      <c r="F16" s="563">
        <v>0</v>
      </c>
      <c r="G16" s="563">
        <v>0</v>
      </c>
      <c r="H16" s="563">
        <v>0</v>
      </c>
      <c r="I16" s="563">
        <v>0</v>
      </c>
      <c r="J16" s="563">
        <v>0</v>
      </c>
      <c r="K16" s="563">
        <v>0</v>
      </c>
      <c r="L16" s="563">
        <v>372.86</v>
      </c>
      <c r="M16" s="563">
        <v>97.83</v>
      </c>
      <c r="N16" s="563">
        <v>51.08</v>
      </c>
      <c r="O16" s="563">
        <v>484.41</v>
      </c>
      <c r="P16" s="563">
        <v>127.1</v>
      </c>
      <c r="Q16" s="563">
        <v>66.36</v>
      </c>
      <c r="R16" s="562">
        <v>857.27</v>
      </c>
      <c r="S16" s="562">
        <v>224.93</v>
      </c>
      <c r="T16" s="562">
        <v>117.45</v>
      </c>
      <c r="U16" s="563">
        <v>857.27</v>
      </c>
      <c r="V16" s="563">
        <v>224.93</v>
      </c>
      <c r="W16" s="563">
        <v>117.45</v>
      </c>
    </row>
    <row r="17" spans="1:23" s="567" customFormat="1" ht="45.75" customHeight="1" x14ac:dyDescent="0.2">
      <c r="A17" s="1008">
        <v>3</v>
      </c>
      <c r="B17" s="646" t="s">
        <v>118</v>
      </c>
      <c r="C17" s="563">
        <v>0</v>
      </c>
      <c r="D17" s="563">
        <v>0</v>
      </c>
      <c r="E17" s="563">
        <v>0</v>
      </c>
      <c r="F17" s="563">
        <v>0</v>
      </c>
      <c r="G17" s="563">
        <v>0</v>
      </c>
      <c r="H17" s="563">
        <v>0</v>
      </c>
      <c r="I17" s="563">
        <v>0</v>
      </c>
      <c r="J17" s="563">
        <v>0</v>
      </c>
      <c r="K17" s="563">
        <v>0</v>
      </c>
      <c r="L17" s="563">
        <v>14.8</v>
      </c>
      <c r="M17" s="563">
        <v>3.88</v>
      </c>
      <c r="N17" s="563">
        <v>2.0299999999999998</v>
      </c>
      <c r="O17" s="563">
        <v>9.86</v>
      </c>
      <c r="P17" s="563">
        <v>2.59</v>
      </c>
      <c r="Q17" s="563">
        <v>1.35</v>
      </c>
      <c r="R17" s="562">
        <v>24.66</v>
      </c>
      <c r="S17" s="562">
        <v>6.47</v>
      </c>
      <c r="T17" s="562">
        <v>3.38</v>
      </c>
      <c r="U17" s="563">
        <v>24.66</v>
      </c>
      <c r="V17" s="563">
        <v>6.47</v>
      </c>
      <c r="W17" s="563">
        <v>3.38</v>
      </c>
    </row>
    <row r="18" spans="1:23" s="567" customFormat="1" ht="45.75" customHeight="1" x14ac:dyDescent="0.2">
      <c r="A18" s="1008">
        <v>4</v>
      </c>
      <c r="B18" s="646" t="s">
        <v>116</v>
      </c>
      <c r="C18" s="563">
        <v>0</v>
      </c>
      <c r="D18" s="563">
        <v>0</v>
      </c>
      <c r="E18" s="563">
        <v>0</v>
      </c>
      <c r="F18" s="563">
        <v>0</v>
      </c>
      <c r="G18" s="563">
        <v>0</v>
      </c>
      <c r="H18" s="563">
        <v>0</v>
      </c>
      <c r="I18" s="563">
        <v>0</v>
      </c>
      <c r="J18" s="563">
        <v>0</v>
      </c>
      <c r="K18" s="563">
        <v>0</v>
      </c>
      <c r="L18" s="563">
        <v>11</v>
      </c>
      <c r="M18" s="563">
        <v>2.89</v>
      </c>
      <c r="N18" s="563">
        <v>1.51</v>
      </c>
      <c r="O18" s="563">
        <v>0</v>
      </c>
      <c r="P18" s="563">
        <v>0</v>
      </c>
      <c r="Q18" s="563">
        <v>0</v>
      </c>
      <c r="R18" s="562">
        <v>11</v>
      </c>
      <c r="S18" s="562">
        <v>2.89</v>
      </c>
      <c r="T18" s="562">
        <v>1.51</v>
      </c>
      <c r="U18" s="563">
        <v>11</v>
      </c>
      <c r="V18" s="563">
        <v>2.89</v>
      </c>
      <c r="W18" s="563">
        <v>1.51</v>
      </c>
    </row>
    <row r="19" spans="1:23" s="567" customFormat="1" ht="45.75" customHeight="1" x14ac:dyDescent="0.2">
      <c r="A19" s="1008">
        <v>5</v>
      </c>
      <c r="B19" s="645" t="s">
        <v>117</v>
      </c>
      <c r="C19" s="563">
        <v>0</v>
      </c>
      <c r="D19" s="563">
        <v>0</v>
      </c>
      <c r="E19" s="563">
        <v>0</v>
      </c>
      <c r="F19" s="563">
        <v>0</v>
      </c>
      <c r="G19" s="563">
        <v>0</v>
      </c>
      <c r="H19" s="563">
        <v>0</v>
      </c>
      <c r="I19" s="563">
        <v>0</v>
      </c>
      <c r="J19" s="563">
        <v>0</v>
      </c>
      <c r="K19" s="563">
        <v>0</v>
      </c>
      <c r="L19" s="563">
        <v>13.29</v>
      </c>
      <c r="M19" s="563">
        <v>3.49</v>
      </c>
      <c r="N19" s="563">
        <v>1.82</v>
      </c>
      <c r="O19" s="563">
        <v>0</v>
      </c>
      <c r="P19" s="563">
        <v>0</v>
      </c>
      <c r="Q19" s="563">
        <v>0</v>
      </c>
      <c r="R19" s="562">
        <v>13.29</v>
      </c>
      <c r="S19" s="562">
        <v>3.49</v>
      </c>
      <c r="T19" s="562">
        <v>1.82</v>
      </c>
      <c r="U19" s="563">
        <v>13.29</v>
      </c>
      <c r="V19" s="563">
        <v>3.49</v>
      </c>
      <c r="W19" s="563">
        <v>1.82</v>
      </c>
    </row>
    <row r="20" spans="1:23" s="561" customFormat="1" ht="45.75" customHeight="1" x14ac:dyDescent="0.2">
      <c r="A20" s="644"/>
      <c r="B20" s="645" t="s">
        <v>660</v>
      </c>
      <c r="C20" s="989">
        <f>SUM(C15:C19)</f>
        <v>0</v>
      </c>
      <c r="D20" s="989">
        <f t="shared" ref="D20:W20" si="0">SUM(D15:D19)</f>
        <v>0</v>
      </c>
      <c r="E20" s="989">
        <f t="shared" si="0"/>
        <v>0</v>
      </c>
      <c r="F20" s="989">
        <f t="shared" si="0"/>
        <v>0</v>
      </c>
      <c r="G20" s="989">
        <f t="shared" si="0"/>
        <v>0</v>
      </c>
      <c r="H20" s="989">
        <f t="shared" si="0"/>
        <v>0</v>
      </c>
      <c r="I20" s="989">
        <f t="shared" si="0"/>
        <v>0</v>
      </c>
      <c r="J20" s="989">
        <f t="shared" si="0"/>
        <v>0</v>
      </c>
      <c r="K20" s="989">
        <f t="shared" si="0"/>
        <v>0</v>
      </c>
      <c r="L20" s="989">
        <f t="shared" si="0"/>
        <v>456.40000000000003</v>
      </c>
      <c r="M20" s="989">
        <f t="shared" si="0"/>
        <v>119.74999999999999</v>
      </c>
      <c r="N20" s="989">
        <f t="shared" si="0"/>
        <v>62.53</v>
      </c>
      <c r="O20" s="989">
        <f t="shared" si="0"/>
        <v>494.27000000000004</v>
      </c>
      <c r="P20" s="989">
        <f t="shared" si="0"/>
        <v>129.69</v>
      </c>
      <c r="Q20" s="989">
        <f t="shared" si="0"/>
        <v>67.709999999999994</v>
      </c>
      <c r="R20" s="989">
        <f t="shared" si="0"/>
        <v>950.67</v>
      </c>
      <c r="S20" s="989">
        <f t="shared" si="0"/>
        <v>249.44</v>
      </c>
      <c r="T20" s="989">
        <f t="shared" si="0"/>
        <v>130.25</v>
      </c>
      <c r="U20" s="989">
        <f t="shared" si="0"/>
        <v>950.67</v>
      </c>
      <c r="V20" s="989">
        <f t="shared" si="0"/>
        <v>249.44</v>
      </c>
      <c r="W20" s="989">
        <f t="shared" si="0"/>
        <v>130.25</v>
      </c>
    </row>
    <row r="21" spans="1:23" x14ac:dyDescent="0.2">
      <c r="A21" s="648"/>
      <c r="B21" s="648"/>
    </row>
    <row r="23" spans="1:23" ht="58.5" customHeight="1" x14ac:dyDescent="0.2">
      <c r="A23" s="1084" t="s">
        <v>700</v>
      </c>
      <c r="B23" s="412"/>
      <c r="C23" s="412"/>
      <c r="D23" s="412"/>
      <c r="E23" s="412"/>
      <c r="F23" s="412"/>
      <c r="G23" s="412"/>
      <c r="H23" s="412"/>
      <c r="L23" s="412"/>
      <c r="R23" s="1697" t="s">
        <v>646</v>
      </c>
      <c r="S23" s="1697"/>
      <c r="T23" s="1697"/>
      <c r="U23" s="1697"/>
      <c r="V23" s="1697"/>
      <c r="W23" s="1697"/>
    </row>
  </sheetData>
  <mergeCells count="18">
    <mergeCell ref="A14:B14"/>
    <mergeCell ref="R23:W23"/>
    <mergeCell ref="C11:E11"/>
    <mergeCell ref="F11:H11"/>
    <mergeCell ref="I11:K11"/>
    <mergeCell ref="L11:N11"/>
    <mergeCell ref="O11:Q11"/>
    <mergeCell ref="R11:T11"/>
    <mergeCell ref="O1:U1"/>
    <mergeCell ref="B4:U4"/>
    <mergeCell ref="B6:U6"/>
    <mergeCell ref="A8:C8"/>
    <mergeCell ref="V9:W9"/>
    <mergeCell ref="A10:A11"/>
    <mergeCell ref="B10:B11"/>
    <mergeCell ref="C10:K10"/>
    <mergeCell ref="L10:T10"/>
    <mergeCell ref="U10:W11"/>
  </mergeCells>
  <printOptions horizontalCentered="1"/>
  <pageMargins left="0.59055118110236227" right="3.937007874015748E-2" top="0.23622047244094491" bottom="0" header="7.874015748031496E-2" footer="7.874015748031496E-2"/>
  <pageSetup paperSize="9" scale="62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theme="5" tint="0.59999389629810485"/>
  </sheetPr>
  <dimension ref="A1:O29"/>
  <sheetViews>
    <sheetView view="pageBreakPreview" zoomScale="78" zoomScaleSheetLayoutView="78" workbookViewId="0">
      <selection activeCell="C32" sqref="C32"/>
    </sheetView>
  </sheetViews>
  <sheetFormatPr defaultColWidth="9.140625" defaultRowHeight="12.75" x14ac:dyDescent="0.2"/>
  <cols>
    <col min="1" max="1" width="7.42578125" style="62" customWidth="1"/>
    <col min="2" max="2" width="17.140625" style="62" customWidth="1"/>
    <col min="3" max="3" width="11.28515625" style="62" customWidth="1"/>
    <col min="4" max="4" width="10" style="62" customWidth="1"/>
    <col min="5" max="5" width="11.85546875" style="62" customWidth="1"/>
    <col min="6" max="7" width="12.140625" style="62" customWidth="1"/>
    <col min="8" max="8" width="12.42578125" style="62" customWidth="1"/>
    <col min="9" max="9" width="12.140625" style="62" customWidth="1"/>
    <col min="10" max="10" width="12.85546875" style="62" customWidth="1"/>
    <col min="11" max="12" width="11.42578125" style="62" customWidth="1"/>
    <col min="13" max="16384" width="9.140625" style="62"/>
  </cols>
  <sheetData>
    <row r="1" spans="1:15" s="37" customFormat="1" x14ac:dyDescent="0.2">
      <c r="E1" s="1656"/>
      <c r="F1" s="1656"/>
      <c r="G1" s="1656"/>
      <c r="H1" s="1656"/>
      <c r="I1" s="1656"/>
      <c r="J1" s="791" t="s">
        <v>872</v>
      </c>
    </row>
    <row r="2" spans="1:15" s="37" customFormat="1" ht="15" x14ac:dyDescent="0.2">
      <c r="A2" s="1303" t="s">
        <v>0</v>
      </c>
      <c r="B2" s="1303"/>
      <c r="C2" s="1303"/>
      <c r="D2" s="1303"/>
      <c r="E2" s="1303"/>
      <c r="F2" s="1303"/>
      <c r="G2" s="1303"/>
      <c r="H2" s="1303"/>
      <c r="I2" s="1303"/>
      <c r="J2" s="1303"/>
    </row>
    <row r="3" spans="1:15" s="37" customFormat="1" ht="20.25" x14ac:dyDescent="0.3">
      <c r="A3" s="1182" t="s">
        <v>793</v>
      </c>
      <c r="B3" s="1182"/>
      <c r="C3" s="1182"/>
      <c r="D3" s="1182"/>
      <c r="E3" s="1182"/>
      <c r="F3" s="1182"/>
      <c r="G3" s="1182"/>
      <c r="H3" s="1182"/>
      <c r="I3" s="1182"/>
      <c r="J3" s="1182"/>
    </row>
    <row r="4" spans="1:15" s="37" customFormat="1" ht="14.25" customHeight="1" x14ac:dyDescent="0.2"/>
    <row r="5" spans="1:15" ht="19.5" customHeight="1" x14ac:dyDescent="0.25">
      <c r="A5" s="1305" t="s">
        <v>873</v>
      </c>
      <c r="B5" s="1305"/>
      <c r="C5" s="1305"/>
      <c r="D5" s="1305"/>
      <c r="E5" s="1305"/>
      <c r="F5" s="1305"/>
      <c r="G5" s="1305"/>
      <c r="H5" s="1305"/>
      <c r="I5" s="1305"/>
      <c r="J5" s="1305"/>
      <c r="K5" s="1305"/>
      <c r="L5" s="1305"/>
    </row>
    <row r="6" spans="1:15" ht="0.75" customHeight="1" x14ac:dyDescent="0.2"/>
    <row r="7" spans="1:15" x14ac:dyDescent="0.2">
      <c r="A7" s="1657" t="s">
        <v>959</v>
      </c>
      <c r="B7" s="1657"/>
      <c r="C7" s="1657"/>
      <c r="H7" s="1658" t="s">
        <v>924</v>
      </c>
      <c r="I7" s="1658"/>
      <c r="J7" s="1658"/>
      <c r="K7" s="1658"/>
      <c r="L7" s="1658"/>
    </row>
    <row r="8" spans="1:15" ht="24.75" customHeight="1" x14ac:dyDescent="0.2">
      <c r="A8" s="1502" t="s">
        <v>2</v>
      </c>
      <c r="B8" s="1502" t="s">
        <v>30</v>
      </c>
      <c r="C8" s="1660" t="s">
        <v>874</v>
      </c>
      <c r="D8" s="1660"/>
      <c r="E8" s="1660" t="s">
        <v>115</v>
      </c>
      <c r="F8" s="1660"/>
      <c r="G8" s="1661" t="s">
        <v>875</v>
      </c>
      <c r="H8" s="1662"/>
      <c r="I8" s="1661" t="s">
        <v>116</v>
      </c>
      <c r="J8" s="1662"/>
      <c r="K8" s="1261" t="s">
        <v>117</v>
      </c>
      <c r="L8" s="1263"/>
      <c r="N8" s="828"/>
      <c r="O8" s="829"/>
    </row>
    <row r="9" spans="1:15" ht="53.25" customHeight="1" x14ac:dyDescent="0.2">
      <c r="A9" s="1503"/>
      <c r="B9" s="1503"/>
      <c r="C9" s="879" t="s">
        <v>876</v>
      </c>
      <c r="D9" s="879" t="s">
        <v>877</v>
      </c>
      <c r="E9" s="879" t="s">
        <v>878</v>
      </c>
      <c r="F9" s="879" t="s">
        <v>879</v>
      </c>
      <c r="G9" s="879" t="s">
        <v>878</v>
      </c>
      <c r="H9" s="879" t="s">
        <v>879</v>
      </c>
      <c r="I9" s="879" t="s">
        <v>876</v>
      </c>
      <c r="J9" s="879" t="s">
        <v>880</v>
      </c>
      <c r="K9" s="879" t="s">
        <v>876</v>
      </c>
      <c r="L9" s="879" t="s">
        <v>880</v>
      </c>
    </row>
    <row r="10" spans="1:15" x14ac:dyDescent="0.2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</row>
    <row r="11" spans="1:15" s="659" customFormat="1" ht="21.75" customHeight="1" x14ac:dyDescent="0.3">
      <c r="A11" s="233">
        <v>1</v>
      </c>
      <c r="B11" s="173" t="s">
        <v>647</v>
      </c>
      <c r="C11" s="913">
        <f>'T5C_Drought_PLAN_vs_PRFM  (2)'!D12*40*0.0001</f>
        <v>153.86799999999999</v>
      </c>
      <c r="D11" s="914">
        <f>'T5C_Drought_PLAN_vs_PRFM  (2)'!J12*40*0.0001</f>
        <v>195.23600000000002</v>
      </c>
      <c r="E11" s="912">
        <f>('T5C_Drought_PLAN_vs_PRFM  (2)'!D12*40*5.13)/100000</f>
        <v>78.934283999999991</v>
      </c>
      <c r="F11" s="913">
        <f>('T5C_Drought_PLAN_vs_PRFM  (2)'!J12*40*5.13)/100000</f>
        <v>100.15606799999999</v>
      </c>
      <c r="G11" s="912">
        <v>0</v>
      </c>
      <c r="H11" s="912">
        <v>0</v>
      </c>
      <c r="I11" s="912">
        <f>C11*750/100000</f>
        <v>1.15401</v>
      </c>
      <c r="J11" s="912">
        <f>D11*750/100000</f>
        <v>1.46427</v>
      </c>
      <c r="K11" s="912">
        <v>0</v>
      </c>
      <c r="L11" s="912">
        <v>0</v>
      </c>
    </row>
    <row r="12" spans="1:15" s="659" customFormat="1" ht="21.75" customHeight="1" x14ac:dyDescent="0.3">
      <c r="A12" s="233">
        <v>2</v>
      </c>
      <c r="B12" s="173" t="s">
        <v>648</v>
      </c>
      <c r="C12" s="913">
        <f>'T5C_Drought_PLAN_vs_PRFM  (2)'!D13*40*0.0001</f>
        <v>0</v>
      </c>
      <c r="D12" s="914">
        <f>'T5C_Drought_PLAN_vs_PRFM  (2)'!J13*40*0.0001</f>
        <v>73.388000000000005</v>
      </c>
      <c r="E12" s="912">
        <f>('T5C_Drought_PLAN_vs_PRFM  (2)'!D13*40*5.13)/100000</f>
        <v>0</v>
      </c>
      <c r="F12" s="913">
        <f>('T5C_Drought_PLAN_vs_PRFM  (2)'!J13*40*5.13)/100000</f>
        <v>37.648043999999999</v>
      </c>
      <c r="G12" s="912">
        <v>0</v>
      </c>
      <c r="H12" s="912">
        <v>0</v>
      </c>
      <c r="I12" s="912">
        <f t="shared" ref="I12:I23" si="0">C12*750/100000</f>
        <v>0</v>
      </c>
      <c r="J12" s="912">
        <f t="shared" ref="J12:J23" si="1">D12*750/100000</f>
        <v>0.55041000000000007</v>
      </c>
      <c r="K12" s="912">
        <v>0</v>
      </c>
      <c r="L12" s="912">
        <v>0</v>
      </c>
    </row>
    <row r="13" spans="1:15" s="659" customFormat="1" ht="21.75" customHeight="1" x14ac:dyDescent="0.3">
      <c r="A13" s="233">
        <v>3</v>
      </c>
      <c r="B13" s="173" t="s">
        <v>649</v>
      </c>
      <c r="C13" s="913">
        <f>'T5C_Drought_PLAN_vs_PRFM  (2)'!D14*40*0.0001</f>
        <v>0</v>
      </c>
      <c r="D13" s="914">
        <f>'T5C_Drought_PLAN_vs_PRFM  (2)'!J14*40*0.0001</f>
        <v>0</v>
      </c>
      <c r="E13" s="912">
        <f>('T5C_Drought_PLAN_vs_PRFM  (2)'!D14*40*5.13)/100000</f>
        <v>0</v>
      </c>
      <c r="F13" s="913">
        <f>('T5C_Drought_PLAN_vs_PRFM  (2)'!J14*40*5.13)/100000</f>
        <v>0</v>
      </c>
      <c r="G13" s="912">
        <v>0</v>
      </c>
      <c r="H13" s="912">
        <v>0</v>
      </c>
      <c r="I13" s="912">
        <f t="shared" si="0"/>
        <v>0</v>
      </c>
      <c r="J13" s="912">
        <f t="shared" si="1"/>
        <v>0</v>
      </c>
      <c r="K13" s="912">
        <v>0</v>
      </c>
      <c r="L13" s="912">
        <v>0</v>
      </c>
    </row>
    <row r="14" spans="1:15" s="659" customFormat="1" ht="21.75" customHeight="1" x14ac:dyDescent="0.3">
      <c r="A14" s="233">
        <v>4</v>
      </c>
      <c r="B14" s="173" t="s">
        <v>650</v>
      </c>
      <c r="C14" s="913">
        <f>'T5C_Drought_PLAN_vs_PRFM  (2)'!D15*40*0.0001</f>
        <v>0</v>
      </c>
      <c r="D14" s="914">
        <f>'T5C_Drought_PLAN_vs_PRFM  (2)'!J15*40*0.0001</f>
        <v>0</v>
      </c>
      <c r="E14" s="912">
        <f>('T5C_Drought_PLAN_vs_PRFM  (2)'!D15*40*5.13)/100000</f>
        <v>0</v>
      </c>
      <c r="F14" s="913">
        <f>('T5C_Drought_PLAN_vs_PRFM  (2)'!J15*40*5.13)/100000</f>
        <v>0</v>
      </c>
      <c r="G14" s="912">
        <v>0</v>
      </c>
      <c r="H14" s="912">
        <v>0</v>
      </c>
      <c r="I14" s="912">
        <f t="shared" si="0"/>
        <v>0</v>
      </c>
      <c r="J14" s="912">
        <f t="shared" si="1"/>
        <v>0</v>
      </c>
      <c r="K14" s="912">
        <v>0</v>
      </c>
      <c r="L14" s="912">
        <v>0</v>
      </c>
    </row>
    <row r="15" spans="1:15" s="659" customFormat="1" ht="21.75" customHeight="1" x14ac:dyDescent="0.3">
      <c r="A15" s="233">
        <v>5</v>
      </c>
      <c r="B15" s="173" t="s">
        <v>651</v>
      </c>
      <c r="C15" s="913">
        <f>'T5C_Drought_PLAN_vs_PRFM  (2)'!D16*40*0.0001</f>
        <v>0</v>
      </c>
      <c r="D15" s="914">
        <f>'T5C_Drought_PLAN_vs_PRFM  (2)'!J16*40*0.0001</f>
        <v>0</v>
      </c>
      <c r="E15" s="912">
        <f>('T5C_Drought_PLAN_vs_PRFM  (2)'!D16*40*5.13)/100000</f>
        <v>0</v>
      </c>
      <c r="F15" s="913">
        <f>('T5C_Drought_PLAN_vs_PRFM  (2)'!J16*40*5.13)/100000</f>
        <v>0</v>
      </c>
      <c r="G15" s="912">
        <v>0</v>
      </c>
      <c r="H15" s="912">
        <v>0</v>
      </c>
      <c r="I15" s="912">
        <f t="shared" si="0"/>
        <v>0</v>
      </c>
      <c r="J15" s="912">
        <f t="shared" si="1"/>
        <v>0</v>
      </c>
      <c r="K15" s="912">
        <v>0</v>
      </c>
      <c r="L15" s="912">
        <v>0</v>
      </c>
    </row>
    <row r="16" spans="1:15" s="659" customFormat="1" ht="21.75" customHeight="1" x14ac:dyDescent="0.3">
      <c r="A16" s="233">
        <v>6</v>
      </c>
      <c r="B16" s="173" t="s">
        <v>652</v>
      </c>
      <c r="C16" s="913">
        <f>'T5C_Drought_PLAN_vs_PRFM  (2)'!D17*40*0.0001</f>
        <v>0</v>
      </c>
      <c r="D16" s="914">
        <f>'T5C_Drought_PLAN_vs_PRFM  (2)'!J17*40*0.0001</f>
        <v>0</v>
      </c>
      <c r="E16" s="912">
        <f>('T5C_Drought_PLAN_vs_PRFM  (2)'!D17*40*5.13)/100000</f>
        <v>0</v>
      </c>
      <c r="F16" s="913">
        <f>('T5C_Drought_PLAN_vs_PRFM  (2)'!J17*40*5.13)/100000</f>
        <v>0</v>
      </c>
      <c r="G16" s="912">
        <v>0</v>
      </c>
      <c r="H16" s="912">
        <v>0</v>
      </c>
      <c r="I16" s="912">
        <f t="shared" si="0"/>
        <v>0</v>
      </c>
      <c r="J16" s="912">
        <f t="shared" si="1"/>
        <v>0</v>
      </c>
      <c r="K16" s="912">
        <v>0</v>
      </c>
      <c r="L16" s="912">
        <v>0</v>
      </c>
    </row>
    <row r="17" spans="1:13" s="659" customFormat="1" ht="21.75" customHeight="1" x14ac:dyDescent="0.3">
      <c r="A17" s="233">
        <v>7</v>
      </c>
      <c r="B17" s="173" t="s">
        <v>653</v>
      </c>
      <c r="C17" s="913">
        <f>'T5C_Drought_PLAN_vs_PRFM  (2)'!D18*40*0.0001</f>
        <v>0</v>
      </c>
      <c r="D17" s="914">
        <f>'T5C_Drought_PLAN_vs_PRFM  (2)'!J18*40*0.0001</f>
        <v>0</v>
      </c>
      <c r="E17" s="912">
        <f>('T5C_Drought_PLAN_vs_PRFM  (2)'!D18*40*5.13)/100000</f>
        <v>0</v>
      </c>
      <c r="F17" s="913">
        <f>('T5C_Drought_PLAN_vs_PRFM  (2)'!J18*40*5.13)/100000</f>
        <v>0</v>
      </c>
      <c r="G17" s="912">
        <v>0</v>
      </c>
      <c r="H17" s="912">
        <v>0</v>
      </c>
      <c r="I17" s="912">
        <f t="shared" si="0"/>
        <v>0</v>
      </c>
      <c r="J17" s="912">
        <f t="shared" si="1"/>
        <v>0</v>
      </c>
      <c r="K17" s="912">
        <v>0</v>
      </c>
      <c r="L17" s="912">
        <v>0</v>
      </c>
    </row>
    <row r="18" spans="1:13" s="659" customFormat="1" ht="21.75" customHeight="1" x14ac:dyDescent="0.3">
      <c r="A18" s="233">
        <v>8</v>
      </c>
      <c r="B18" s="173" t="s">
        <v>654</v>
      </c>
      <c r="C18" s="913">
        <f>'T5C_Drought_PLAN_vs_PRFM  (2)'!D19*40*0.0001</f>
        <v>462.18800000000005</v>
      </c>
      <c r="D18" s="914">
        <f>'T5C_Drought_PLAN_vs_PRFM  (2)'!J19*40*0.0001</f>
        <v>117.01600000000001</v>
      </c>
      <c r="E18" s="912">
        <f>('T5C_Drought_PLAN_vs_PRFM  (2)'!D19*40*5.13)/100000</f>
        <v>237.10244399999999</v>
      </c>
      <c r="F18" s="913">
        <f>('T5C_Drought_PLAN_vs_PRFM  (2)'!J19*40*5.13)/100000</f>
        <v>60.029207999999997</v>
      </c>
      <c r="G18" s="912">
        <v>0</v>
      </c>
      <c r="H18" s="912">
        <v>0</v>
      </c>
      <c r="I18" s="912">
        <f t="shared" si="0"/>
        <v>3.4664100000000007</v>
      </c>
      <c r="J18" s="912">
        <f t="shared" si="1"/>
        <v>0.87761999999999996</v>
      </c>
      <c r="K18" s="912">
        <v>0</v>
      </c>
      <c r="L18" s="912">
        <v>0</v>
      </c>
    </row>
    <row r="19" spans="1:13" s="659" customFormat="1" ht="21.75" customHeight="1" x14ac:dyDescent="0.3">
      <c r="A19" s="233">
        <v>9</v>
      </c>
      <c r="B19" s="173" t="s">
        <v>655</v>
      </c>
      <c r="C19" s="913">
        <f>'T5C_Drought_PLAN_vs_PRFM  (2)'!D20*40*0.0001</f>
        <v>298.63600000000002</v>
      </c>
      <c r="D19" s="914">
        <f>'T5C_Drought_PLAN_vs_PRFM  (2)'!J20*40*0.0001</f>
        <v>183.572</v>
      </c>
      <c r="E19" s="912">
        <f>('T5C_Drought_PLAN_vs_PRFM  (2)'!D20*40*5.13)/100000</f>
        <v>153.20026799999999</v>
      </c>
      <c r="F19" s="913">
        <f>('T5C_Drought_PLAN_vs_PRFM  (2)'!J20*40*5.13)/100000</f>
        <v>94.17243599999999</v>
      </c>
      <c r="G19" s="912">
        <v>0</v>
      </c>
      <c r="H19" s="912">
        <v>0</v>
      </c>
      <c r="I19" s="912">
        <f t="shared" si="0"/>
        <v>2.2397700000000005</v>
      </c>
      <c r="J19" s="912">
        <f t="shared" si="1"/>
        <v>1.37679</v>
      </c>
      <c r="K19" s="912">
        <v>0</v>
      </c>
      <c r="L19" s="912">
        <v>0</v>
      </c>
    </row>
    <row r="20" spans="1:13" s="659" customFormat="1" ht="21.75" customHeight="1" x14ac:dyDescent="0.3">
      <c r="A20" s="233">
        <v>10</v>
      </c>
      <c r="B20" s="173" t="s">
        <v>656</v>
      </c>
      <c r="C20" s="913">
        <f>'T5C_Drought_PLAN_vs_PRFM  (2)'!D21*40*0.0001</f>
        <v>507.08000000000004</v>
      </c>
      <c r="D20" s="914">
        <f>'T5C_Drought_PLAN_vs_PRFM  (2)'!J21*40*0.0001</f>
        <v>340.928</v>
      </c>
      <c r="E20" s="912">
        <f>('T5C_Drought_PLAN_vs_PRFM  (2)'!D21*40*5.13)/100000</f>
        <v>260.13204000000002</v>
      </c>
      <c r="F20" s="913">
        <f>('T5C_Drought_PLAN_vs_PRFM  (2)'!J21*40*5.13)/100000</f>
        <v>174.896064</v>
      </c>
      <c r="G20" s="912">
        <v>0</v>
      </c>
      <c r="H20" s="912">
        <v>0</v>
      </c>
      <c r="I20" s="912">
        <f t="shared" si="0"/>
        <v>3.8031000000000006</v>
      </c>
      <c r="J20" s="912">
        <f t="shared" si="1"/>
        <v>2.5569600000000001</v>
      </c>
      <c r="K20" s="912">
        <v>0</v>
      </c>
      <c r="L20" s="912">
        <v>0</v>
      </c>
    </row>
    <row r="21" spans="1:13" s="659" customFormat="1" ht="21.75" customHeight="1" x14ac:dyDescent="0.3">
      <c r="A21" s="233">
        <v>11</v>
      </c>
      <c r="B21" s="173" t="s">
        <v>657</v>
      </c>
      <c r="C21" s="913">
        <f>'T5C_Drought_PLAN_vs_PRFM  (2)'!D22*40*0.0001</f>
        <v>445</v>
      </c>
      <c r="D21" s="914">
        <f>'T5C_Drought_PLAN_vs_PRFM  (2)'!J22*40*0.0001</f>
        <v>203.90800000000002</v>
      </c>
      <c r="E21" s="912">
        <f>('T5C_Drought_PLAN_vs_PRFM  (2)'!D22*40*5.13)/100000</f>
        <v>228.285</v>
      </c>
      <c r="F21" s="913">
        <f>('T5C_Drought_PLAN_vs_PRFM  (2)'!J22*40*5.13)/100000</f>
        <v>104.604804</v>
      </c>
      <c r="G21" s="912">
        <v>0</v>
      </c>
      <c r="H21" s="912">
        <v>0</v>
      </c>
      <c r="I21" s="912">
        <f t="shared" si="0"/>
        <v>3.3374999999999999</v>
      </c>
      <c r="J21" s="912">
        <f t="shared" si="1"/>
        <v>1.5293099999999999</v>
      </c>
      <c r="K21" s="912">
        <v>0</v>
      </c>
      <c r="L21" s="912">
        <v>0</v>
      </c>
    </row>
    <row r="22" spans="1:13" s="659" customFormat="1" ht="21.75" customHeight="1" x14ac:dyDescent="0.3">
      <c r="A22" s="233">
        <v>12</v>
      </c>
      <c r="B22" s="173" t="s">
        <v>658</v>
      </c>
      <c r="C22" s="913">
        <f>'T5C_Drought_PLAN_vs_PRFM  (2)'!D23*40*0.0001</f>
        <v>662.86800000000005</v>
      </c>
      <c r="D22" s="914">
        <f>'T5C_Drought_PLAN_vs_PRFM  (2)'!J23*40*0.0001</f>
        <v>556.42000000000007</v>
      </c>
      <c r="E22" s="912">
        <f>('T5C_Drought_PLAN_vs_PRFM  (2)'!D23*40*5.13)/100000</f>
        <v>340.05128400000001</v>
      </c>
      <c r="F22" s="913">
        <f>('T5C_Drought_PLAN_vs_PRFM  (2)'!J23*40*5.13)/100000</f>
        <v>285.44346000000002</v>
      </c>
      <c r="G22" s="912">
        <v>0</v>
      </c>
      <c r="H22" s="912">
        <v>0</v>
      </c>
      <c r="I22" s="912">
        <f t="shared" si="0"/>
        <v>4.9715100000000003</v>
      </c>
      <c r="J22" s="912">
        <f t="shared" si="1"/>
        <v>4.1731500000000006</v>
      </c>
      <c r="K22" s="912">
        <v>0</v>
      </c>
      <c r="L22" s="912">
        <v>0</v>
      </c>
    </row>
    <row r="23" spans="1:13" s="659" customFormat="1" ht="21.75" customHeight="1" x14ac:dyDescent="0.3">
      <c r="A23" s="233">
        <v>13</v>
      </c>
      <c r="B23" s="173" t="s">
        <v>659</v>
      </c>
      <c r="C23" s="913">
        <f>'T5C_Drought_PLAN_vs_PRFM  (2)'!D24*40*0.0001</f>
        <v>618.81200000000001</v>
      </c>
      <c r="D23" s="914">
        <f>'T5C_Drought_PLAN_vs_PRFM  (2)'!J24*40*0.0001</f>
        <v>618.81200000000001</v>
      </c>
      <c r="E23" s="912">
        <f>('T5C_Drought_PLAN_vs_PRFM  (2)'!D24*40*5.13)/100000</f>
        <v>317.45055600000001</v>
      </c>
      <c r="F23" s="913">
        <f>('T5C_Drought_PLAN_vs_PRFM  (2)'!J24*40*5.13)/100000</f>
        <v>317.45055600000001</v>
      </c>
      <c r="G23" s="912">
        <v>0</v>
      </c>
      <c r="H23" s="912">
        <v>0</v>
      </c>
      <c r="I23" s="912">
        <f t="shared" si="0"/>
        <v>4.6410900000000002</v>
      </c>
      <c r="J23" s="912">
        <f t="shared" si="1"/>
        <v>4.6410900000000002</v>
      </c>
      <c r="K23" s="912">
        <v>0</v>
      </c>
      <c r="L23" s="912">
        <v>0</v>
      </c>
    </row>
    <row r="24" spans="1:13" s="651" customFormat="1" ht="21.75" customHeight="1" x14ac:dyDescent="0.25">
      <c r="A24" s="1414" t="s">
        <v>660</v>
      </c>
      <c r="B24" s="1414"/>
      <c r="C24" s="954">
        <f>SUM(C11:C23)</f>
        <v>3148.4519999999998</v>
      </c>
      <c r="D24" s="954">
        <f>SUM(D11:D23)</f>
        <v>2289.2800000000002</v>
      </c>
      <c r="E24" s="954">
        <f t="shared" ref="E24:F24" si="2">SUM(E11:E23)</f>
        <v>1615.155876</v>
      </c>
      <c r="F24" s="954">
        <f t="shared" si="2"/>
        <v>1174.4006399999998</v>
      </c>
      <c r="G24" s="955">
        <f>SUM(G11:G23)</f>
        <v>0</v>
      </c>
      <c r="H24" s="955">
        <f>SUM(H11:H23)</f>
        <v>0</v>
      </c>
      <c r="I24" s="955">
        <f t="shared" ref="I24:J24" si="3">SUM(I11:I23)</f>
        <v>23.613390000000003</v>
      </c>
      <c r="J24" s="955">
        <f t="shared" si="3"/>
        <v>17.169600000000003</v>
      </c>
      <c r="K24" s="955">
        <f>SUM(K11:K23)</f>
        <v>0</v>
      </c>
      <c r="L24" s="955">
        <f>SUM(L11:L23)</f>
        <v>0</v>
      </c>
    </row>
    <row r="25" spans="1:13" x14ac:dyDescent="0.2">
      <c r="A25" s="830"/>
      <c r="B25" s="52"/>
      <c r="C25" s="52"/>
      <c r="D25" s="829"/>
      <c r="E25" s="829"/>
      <c r="F25" s="829"/>
      <c r="G25" s="829"/>
      <c r="H25" s="829"/>
      <c r="I25" s="829"/>
      <c r="J25" s="829"/>
    </row>
    <row r="27" spans="1:13" ht="45.75" customHeight="1" x14ac:dyDescent="0.2">
      <c r="B27" s="944" t="s">
        <v>958</v>
      </c>
      <c r="I27" s="1468" t="s">
        <v>646</v>
      </c>
      <c r="J27" s="1468"/>
      <c r="K27" s="1468"/>
      <c r="L27" s="1468"/>
      <c r="M27" s="1468"/>
    </row>
    <row r="29" spans="1:13" x14ac:dyDescent="0.2">
      <c r="A29" s="1659"/>
      <c r="B29" s="1659"/>
      <c r="C29" s="1659"/>
      <c r="D29" s="1659"/>
      <c r="E29" s="1659"/>
      <c r="F29" s="1659"/>
      <c r="G29" s="1659"/>
      <c r="H29" s="1659"/>
      <c r="I29" s="1659"/>
      <c r="J29" s="1659"/>
    </row>
  </sheetData>
  <mergeCells count="16">
    <mergeCell ref="A29:J29"/>
    <mergeCell ref="K8:L8"/>
    <mergeCell ref="A8:A9"/>
    <mergeCell ref="B8:B9"/>
    <mergeCell ref="C8:D8"/>
    <mergeCell ref="E8:F8"/>
    <mergeCell ref="G8:H8"/>
    <mergeCell ref="I8:J8"/>
    <mergeCell ref="A24:B24"/>
    <mergeCell ref="I27:M27"/>
    <mergeCell ref="E1:I1"/>
    <mergeCell ref="A2:J2"/>
    <mergeCell ref="A3:J3"/>
    <mergeCell ref="A5:L5"/>
    <mergeCell ref="A7:C7"/>
    <mergeCell ref="H7:L7"/>
  </mergeCells>
  <printOptions horizontalCentered="1"/>
  <pageMargins left="0.59055118110236227" right="0.15748031496062992" top="0.19685039370078741" bottom="0.11811023622047245" header="7.874015748031496E-2" footer="7.874015748031496E-2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theme="5" tint="0.59999389629810485"/>
  </sheetPr>
  <dimension ref="A1:N27"/>
  <sheetViews>
    <sheetView tabSelected="1" view="pageBreakPreview" topLeftCell="A13" zoomScale="78" zoomScaleSheetLayoutView="78" workbookViewId="0">
      <selection activeCell="V10" sqref="V10"/>
    </sheetView>
  </sheetViews>
  <sheetFormatPr defaultColWidth="9.140625" defaultRowHeight="12.75" x14ac:dyDescent="0.2"/>
  <cols>
    <col min="1" max="1" width="7.42578125" style="62" customWidth="1"/>
    <col min="2" max="2" width="16.28515625" style="62" customWidth="1"/>
    <col min="3" max="3" width="11.7109375" style="62" customWidth="1"/>
    <col min="4" max="4" width="10" style="62" customWidth="1"/>
    <col min="5" max="5" width="11.85546875" style="62" customWidth="1"/>
    <col min="6" max="6" width="12.140625" style="62" customWidth="1"/>
    <col min="7" max="7" width="11.42578125" style="62" customWidth="1"/>
    <col min="8" max="8" width="11.28515625" style="62" customWidth="1"/>
    <col min="9" max="9" width="12" style="62" customWidth="1"/>
    <col min="10" max="10" width="12.28515625" style="62" customWidth="1"/>
    <col min="11" max="11" width="11.42578125" style="62" customWidth="1"/>
    <col min="12" max="12" width="11.28515625" style="62" customWidth="1"/>
    <col min="13" max="16384" width="9.140625" style="62"/>
  </cols>
  <sheetData>
    <row r="1" spans="1:14" s="37" customFormat="1" x14ac:dyDescent="0.2">
      <c r="E1" s="1656"/>
      <c r="F1" s="1656"/>
      <c r="G1" s="1656"/>
      <c r="H1" s="1656"/>
      <c r="I1" s="1656"/>
      <c r="J1" s="791" t="s">
        <v>881</v>
      </c>
    </row>
    <row r="2" spans="1:14" s="37" customFormat="1" ht="15" x14ac:dyDescent="0.2">
      <c r="A2" s="1303" t="s">
        <v>0</v>
      </c>
      <c r="B2" s="1303"/>
      <c r="C2" s="1303"/>
      <c r="D2" s="1303"/>
      <c r="E2" s="1303"/>
      <c r="F2" s="1303"/>
      <c r="G2" s="1303"/>
      <c r="H2" s="1303"/>
      <c r="I2" s="1303"/>
      <c r="J2" s="1303"/>
    </row>
    <row r="3" spans="1:14" s="37" customFormat="1" ht="20.25" x14ac:dyDescent="0.3">
      <c r="A3" s="1182" t="s">
        <v>793</v>
      </c>
      <c r="B3" s="1182"/>
      <c r="C3" s="1182"/>
      <c r="D3" s="1182"/>
      <c r="E3" s="1182"/>
      <c r="F3" s="1182"/>
      <c r="G3" s="1182"/>
      <c r="H3" s="1182"/>
      <c r="I3" s="1182"/>
      <c r="J3" s="1182"/>
    </row>
    <row r="4" spans="1:14" s="37" customFormat="1" ht="14.25" customHeight="1" x14ac:dyDescent="0.2"/>
    <row r="5" spans="1:14" ht="16.5" customHeight="1" x14ac:dyDescent="0.25">
      <c r="A5" s="1305" t="s">
        <v>882</v>
      </c>
      <c r="B5" s="1305"/>
      <c r="C5" s="1305"/>
      <c r="D5" s="1305"/>
      <c r="E5" s="1305"/>
      <c r="F5" s="1305"/>
      <c r="G5" s="1305"/>
      <c r="H5" s="1305"/>
      <c r="I5" s="1305"/>
      <c r="J5" s="1305"/>
      <c r="K5" s="1305"/>
      <c r="L5" s="1305"/>
    </row>
    <row r="6" spans="1:14" ht="13.5" customHeight="1" x14ac:dyDescent="0.2">
      <c r="A6" s="826"/>
      <c r="B6" s="826"/>
      <c r="C6" s="826"/>
      <c r="D6" s="826"/>
      <c r="E6" s="826"/>
      <c r="F6" s="826"/>
      <c r="G6" s="826"/>
      <c r="H6" s="826"/>
      <c r="I6" s="826"/>
      <c r="J6" s="826"/>
    </row>
    <row r="7" spans="1:14" ht="0.75" customHeight="1" x14ac:dyDescent="0.2"/>
    <row r="8" spans="1:14" x14ac:dyDescent="0.2">
      <c r="A8" s="1663" t="s">
        <v>665</v>
      </c>
      <c r="B8" s="1663"/>
      <c r="C8" s="827"/>
      <c r="H8" s="1658" t="s">
        <v>924</v>
      </c>
      <c r="I8" s="1658"/>
      <c r="J8" s="1658"/>
      <c r="K8" s="1658"/>
      <c r="L8" s="1658"/>
    </row>
    <row r="9" spans="1:14" ht="30.75" customHeight="1" x14ac:dyDescent="0.2">
      <c r="A9" s="1309" t="s">
        <v>2</v>
      </c>
      <c r="B9" s="1309" t="s">
        <v>30</v>
      </c>
      <c r="C9" s="1660" t="s">
        <v>874</v>
      </c>
      <c r="D9" s="1660"/>
      <c r="E9" s="1660" t="s">
        <v>115</v>
      </c>
      <c r="F9" s="1660"/>
      <c r="G9" s="1310" t="s">
        <v>875</v>
      </c>
      <c r="H9" s="1664"/>
      <c r="I9" s="1310" t="s">
        <v>116</v>
      </c>
      <c r="J9" s="1664"/>
      <c r="K9" s="1660" t="s">
        <v>117</v>
      </c>
      <c r="L9" s="1660"/>
      <c r="N9" s="829"/>
    </row>
    <row r="10" spans="1:14" ht="53.25" customHeight="1" x14ac:dyDescent="0.2">
      <c r="A10" s="1309"/>
      <c r="B10" s="1309"/>
      <c r="C10" s="896" t="s">
        <v>876</v>
      </c>
      <c r="D10" s="896" t="s">
        <v>877</v>
      </c>
      <c r="E10" s="896" t="s">
        <v>878</v>
      </c>
      <c r="F10" s="896" t="s">
        <v>879</v>
      </c>
      <c r="G10" s="896" t="s">
        <v>878</v>
      </c>
      <c r="H10" s="896" t="s">
        <v>879</v>
      </c>
      <c r="I10" s="896" t="s">
        <v>876</v>
      </c>
      <c r="J10" s="896" t="s">
        <v>880</v>
      </c>
      <c r="K10" s="896" t="s">
        <v>876</v>
      </c>
      <c r="L10" s="896" t="s">
        <v>880</v>
      </c>
    </row>
    <row r="11" spans="1:14" x14ac:dyDescent="0.2">
      <c r="A11" s="129">
        <v>1</v>
      </c>
      <c r="B11" s="129">
        <v>2</v>
      </c>
      <c r="C11" s="129">
        <v>3</v>
      </c>
      <c r="D11" s="129">
        <v>4</v>
      </c>
      <c r="E11" s="129">
        <v>5</v>
      </c>
      <c r="F11" s="129">
        <v>6</v>
      </c>
      <c r="G11" s="129">
        <v>7</v>
      </c>
      <c r="H11" s="129">
        <v>8</v>
      </c>
      <c r="I11" s="129">
        <v>9</v>
      </c>
      <c r="J11" s="129">
        <v>10</v>
      </c>
      <c r="K11" s="129">
        <v>11</v>
      </c>
      <c r="L11" s="129">
        <v>12</v>
      </c>
    </row>
    <row r="12" spans="1:14" s="659" customFormat="1" ht="20.25" customHeight="1" x14ac:dyDescent="0.3">
      <c r="A12" s="233">
        <v>1</v>
      </c>
      <c r="B12" s="173" t="s">
        <v>647</v>
      </c>
      <c r="C12" s="913">
        <f>'T5D_Drought_PLAN_vs_PRFM   (2)'!D12*40*0.00015</f>
        <v>155.75399999999999</v>
      </c>
      <c r="D12" s="914">
        <f>'T5D_Drought_PLAN_vs_PRFM   (2)'!J12*40*0.00015</f>
        <v>202.21199999999999</v>
      </c>
      <c r="E12" s="912">
        <f>('T5D_Drought_PLAN_vs_PRFM   (2)'!D12*40*7.18)/100000</f>
        <v>74.554248000000001</v>
      </c>
      <c r="F12" s="913">
        <f>('T5D_Drought_PLAN_vs_PRFM   (2)'!J12*40*7.18)/100000</f>
        <v>96.792144000000008</v>
      </c>
      <c r="G12" s="912">
        <v>0</v>
      </c>
      <c r="H12" s="912">
        <v>0</v>
      </c>
      <c r="I12" s="912">
        <f t="shared" ref="I12:I22" si="0">C12*750/100000</f>
        <v>1.1681550000000001</v>
      </c>
      <c r="J12" s="912">
        <f t="shared" ref="J12:J22" si="1">D12*750/100000</f>
        <v>1.5165900000000001</v>
      </c>
      <c r="K12" s="912">
        <v>0</v>
      </c>
      <c r="L12" s="912">
        <v>0</v>
      </c>
    </row>
    <row r="13" spans="1:14" s="659" customFormat="1" ht="20.25" customHeight="1" x14ac:dyDescent="0.3">
      <c r="A13" s="233">
        <v>2</v>
      </c>
      <c r="B13" s="173" t="s">
        <v>648</v>
      </c>
      <c r="C13" s="913">
        <f>'T5D_Drought_PLAN_vs_PRFM   (2)'!D13*40*0.00015</f>
        <v>0</v>
      </c>
      <c r="D13" s="914">
        <f>'T5D_Drought_PLAN_vs_PRFM   (2)'!J13*40*0.00015</f>
        <v>0</v>
      </c>
      <c r="E13" s="912">
        <f>('T5D_Drought_PLAN_vs_PRFM   (2)'!D13*40*7.18)/100000</f>
        <v>0</v>
      </c>
      <c r="F13" s="913">
        <f>('T5D_Drought_PLAN_vs_PRFM   (2)'!J13*40*7.18)/100000</f>
        <v>0</v>
      </c>
      <c r="G13" s="912">
        <v>0</v>
      </c>
      <c r="H13" s="912">
        <v>0</v>
      </c>
      <c r="I13" s="912">
        <f t="shared" si="0"/>
        <v>0</v>
      </c>
      <c r="J13" s="912">
        <f t="shared" si="1"/>
        <v>0</v>
      </c>
      <c r="K13" s="912">
        <v>0</v>
      </c>
      <c r="L13" s="912">
        <v>0</v>
      </c>
    </row>
    <row r="14" spans="1:14" s="659" customFormat="1" ht="20.25" customHeight="1" x14ac:dyDescent="0.3">
      <c r="A14" s="233">
        <v>3</v>
      </c>
      <c r="B14" s="173" t="s">
        <v>649</v>
      </c>
      <c r="C14" s="913">
        <f>'T5D_Drought_PLAN_vs_PRFM   (2)'!D14*40*0.00015</f>
        <v>0</v>
      </c>
      <c r="D14" s="914">
        <f>'T5D_Drought_PLAN_vs_PRFM   (2)'!J14*40*0.00015</f>
        <v>0</v>
      </c>
      <c r="E14" s="912">
        <f>('T5D_Drought_PLAN_vs_PRFM   (2)'!D14*40*7.18)/100000</f>
        <v>0</v>
      </c>
      <c r="F14" s="913">
        <f>('T5D_Drought_PLAN_vs_PRFM   (2)'!J14*40*7.18)/100000</f>
        <v>0</v>
      </c>
      <c r="G14" s="912">
        <v>0</v>
      </c>
      <c r="H14" s="912">
        <v>0</v>
      </c>
      <c r="I14" s="912">
        <f t="shared" si="0"/>
        <v>0</v>
      </c>
      <c r="J14" s="912">
        <f t="shared" si="1"/>
        <v>0</v>
      </c>
      <c r="K14" s="912">
        <v>0</v>
      </c>
      <c r="L14" s="912">
        <v>0</v>
      </c>
    </row>
    <row r="15" spans="1:14" s="659" customFormat="1" ht="20.25" customHeight="1" x14ac:dyDescent="0.3">
      <c r="A15" s="233">
        <v>4</v>
      </c>
      <c r="B15" s="173" t="s">
        <v>650</v>
      </c>
      <c r="C15" s="913">
        <f>'T5D_Drought_PLAN_vs_PRFM   (2)'!D15*40*0.00015</f>
        <v>0</v>
      </c>
      <c r="D15" s="914">
        <f>'T5D_Drought_PLAN_vs_PRFM   (2)'!J15*40*0.00015</f>
        <v>0</v>
      </c>
      <c r="E15" s="912">
        <f>('T5D_Drought_PLAN_vs_PRFM   (2)'!D15*40*7.18)/100000</f>
        <v>0</v>
      </c>
      <c r="F15" s="913">
        <f>('T5D_Drought_PLAN_vs_PRFM   (2)'!J15*40*7.18)/100000</f>
        <v>0</v>
      </c>
      <c r="G15" s="912">
        <v>0</v>
      </c>
      <c r="H15" s="912">
        <v>0</v>
      </c>
      <c r="I15" s="912">
        <f t="shared" si="0"/>
        <v>0</v>
      </c>
      <c r="J15" s="912">
        <f t="shared" si="1"/>
        <v>0</v>
      </c>
      <c r="K15" s="912">
        <v>0</v>
      </c>
      <c r="L15" s="912">
        <v>0</v>
      </c>
    </row>
    <row r="16" spans="1:14" s="659" customFormat="1" ht="20.25" customHeight="1" x14ac:dyDescent="0.3">
      <c r="A16" s="233">
        <v>5</v>
      </c>
      <c r="B16" s="173" t="s">
        <v>651</v>
      </c>
      <c r="C16" s="913">
        <f>'T5D_Drought_PLAN_vs_PRFM   (2)'!D16*40*0.00015</f>
        <v>0</v>
      </c>
      <c r="D16" s="914">
        <f>'T5D_Drought_PLAN_vs_PRFM   (2)'!J16*40*0.00015</f>
        <v>0</v>
      </c>
      <c r="E16" s="912">
        <f>('T5D_Drought_PLAN_vs_PRFM   (2)'!D16*40*7.18)/100000</f>
        <v>0</v>
      </c>
      <c r="F16" s="913">
        <f>('T5D_Drought_PLAN_vs_PRFM   (2)'!J16*40*7.18)/100000</f>
        <v>0</v>
      </c>
      <c r="G16" s="912">
        <v>0</v>
      </c>
      <c r="H16" s="912">
        <v>0</v>
      </c>
      <c r="I16" s="912">
        <f t="shared" si="0"/>
        <v>0</v>
      </c>
      <c r="J16" s="912">
        <f t="shared" si="1"/>
        <v>0</v>
      </c>
      <c r="K16" s="912">
        <v>0</v>
      </c>
      <c r="L16" s="912">
        <v>0</v>
      </c>
    </row>
    <row r="17" spans="1:12" s="659" customFormat="1" ht="20.25" customHeight="1" x14ac:dyDescent="0.3">
      <c r="A17" s="233">
        <v>6</v>
      </c>
      <c r="B17" s="173" t="s">
        <v>652</v>
      </c>
      <c r="C17" s="913">
        <f>'T5D_Drought_PLAN_vs_PRFM   (2)'!D17*40*0.00015</f>
        <v>0</v>
      </c>
      <c r="D17" s="914">
        <f>'T5D_Drought_PLAN_vs_PRFM   (2)'!J17*40*0.00015</f>
        <v>0</v>
      </c>
      <c r="E17" s="912">
        <f>('T5D_Drought_PLAN_vs_PRFM   (2)'!D17*40*7.18)/100000</f>
        <v>0</v>
      </c>
      <c r="F17" s="913">
        <f>('T5D_Drought_PLAN_vs_PRFM   (2)'!J17*40*7.18)/100000</f>
        <v>0</v>
      </c>
      <c r="G17" s="912">
        <v>0</v>
      </c>
      <c r="H17" s="912">
        <v>0</v>
      </c>
      <c r="I17" s="912">
        <f t="shared" si="0"/>
        <v>0</v>
      </c>
      <c r="J17" s="912">
        <f t="shared" si="1"/>
        <v>0</v>
      </c>
      <c r="K17" s="912">
        <v>0</v>
      </c>
      <c r="L17" s="912">
        <v>0</v>
      </c>
    </row>
    <row r="18" spans="1:12" s="659" customFormat="1" ht="20.25" customHeight="1" x14ac:dyDescent="0.3">
      <c r="A18" s="233">
        <v>7</v>
      </c>
      <c r="B18" s="173" t="s">
        <v>653</v>
      </c>
      <c r="C18" s="913">
        <f>'T5D_Drought_PLAN_vs_PRFM   (2)'!D18*40*0.00015</f>
        <v>0</v>
      </c>
      <c r="D18" s="914">
        <f>'T5D_Drought_PLAN_vs_PRFM   (2)'!J18*40*0.00015</f>
        <v>0</v>
      </c>
      <c r="E18" s="912">
        <f>('T5D_Drought_PLAN_vs_PRFM   (2)'!D18*40*7.18)/100000</f>
        <v>0</v>
      </c>
      <c r="F18" s="913">
        <f>('T5D_Drought_PLAN_vs_PRFM   (2)'!J18*40*7.18)/100000</f>
        <v>0</v>
      </c>
      <c r="G18" s="912">
        <v>0</v>
      </c>
      <c r="H18" s="912">
        <v>0</v>
      </c>
      <c r="I18" s="912">
        <f t="shared" si="0"/>
        <v>0</v>
      </c>
      <c r="J18" s="912">
        <f t="shared" si="1"/>
        <v>0</v>
      </c>
      <c r="K18" s="912">
        <v>0</v>
      </c>
      <c r="L18" s="912">
        <v>0</v>
      </c>
    </row>
    <row r="19" spans="1:12" s="659" customFormat="1" ht="20.25" customHeight="1" x14ac:dyDescent="0.3">
      <c r="A19" s="233">
        <v>8</v>
      </c>
      <c r="B19" s="173" t="s">
        <v>654</v>
      </c>
      <c r="C19" s="913">
        <f>'T5D_Drought_PLAN_vs_PRFM   (2)'!D19*40*0.00015</f>
        <v>366.65999999999997</v>
      </c>
      <c r="D19" s="914">
        <f>'T5D_Drought_PLAN_vs_PRFM   (2)'!J19*40*0.00015</f>
        <v>306.09554999999995</v>
      </c>
      <c r="E19" s="912">
        <f>('T5D_Drought_PLAN_vs_PRFM   (2)'!D19*40*7.18)/100000</f>
        <v>175.50792000000001</v>
      </c>
      <c r="F19" s="913">
        <f>('T5D_Drought_PLAN_vs_PRFM   (2)'!J19*40*7.18)/100000</f>
        <v>146.51773660000001</v>
      </c>
      <c r="G19" s="912">
        <v>0</v>
      </c>
      <c r="H19" s="912">
        <v>0</v>
      </c>
      <c r="I19" s="912">
        <f t="shared" si="0"/>
        <v>2.7499500000000001</v>
      </c>
      <c r="J19" s="912">
        <f t="shared" si="1"/>
        <v>2.2957166249999994</v>
      </c>
      <c r="K19" s="912">
        <v>0</v>
      </c>
      <c r="L19" s="912">
        <v>0</v>
      </c>
    </row>
    <row r="20" spans="1:12" s="659" customFormat="1" ht="20.25" customHeight="1" x14ac:dyDescent="0.3">
      <c r="A20" s="233">
        <v>9</v>
      </c>
      <c r="B20" s="173" t="s">
        <v>655</v>
      </c>
      <c r="C20" s="913">
        <f>'T5D_Drought_PLAN_vs_PRFM   (2)'!D20*40*0.00015</f>
        <v>240.26999999999998</v>
      </c>
      <c r="D20" s="914">
        <f>'T5D_Drought_PLAN_vs_PRFM   (2)'!J20*40*0.00015</f>
        <v>320.80799999999999</v>
      </c>
      <c r="E20" s="912">
        <f>('T5D_Drought_PLAN_vs_PRFM   (2)'!D20*40*7.18)/100000</f>
        <v>115.00924000000001</v>
      </c>
      <c r="F20" s="913">
        <f>('T5D_Drought_PLAN_vs_PRFM   (2)'!J20*40*7.18)/100000</f>
        <v>153.56009599999999</v>
      </c>
      <c r="G20" s="912">
        <v>0</v>
      </c>
      <c r="H20" s="912">
        <v>0</v>
      </c>
      <c r="I20" s="912">
        <f t="shared" si="0"/>
        <v>1.802025</v>
      </c>
      <c r="J20" s="912">
        <f t="shared" si="1"/>
        <v>2.4060600000000001</v>
      </c>
      <c r="K20" s="912">
        <v>0</v>
      </c>
      <c r="L20" s="912">
        <v>0</v>
      </c>
    </row>
    <row r="21" spans="1:12" s="659" customFormat="1" ht="20.25" customHeight="1" x14ac:dyDescent="0.3">
      <c r="A21" s="233">
        <v>10</v>
      </c>
      <c r="B21" s="173" t="s">
        <v>656</v>
      </c>
      <c r="C21" s="913">
        <f>'T5D_Drought_PLAN_vs_PRFM   (2)'!D21*40*0.00015</f>
        <v>501.56999999999994</v>
      </c>
      <c r="D21" s="914">
        <f>'T5D_Drought_PLAN_vs_PRFM   (2)'!J21*40*0.00015</f>
        <v>584.7974999999999</v>
      </c>
      <c r="E21" s="912">
        <f>('T5D_Drought_PLAN_vs_PRFM   (2)'!D21*40*7.18)/100000</f>
        <v>240.08484000000001</v>
      </c>
      <c r="F21" s="913">
        <f>('T5D_Drought_PLAN_vs_PRFM   (2)'!J21*40*7.18)/100000</f>
        <v>279.92307</v>
      </c>
      <c r="G21" s="912">
        <v>0</v>
      </c>
      <c r="H21" s="912">
        <v>0</v>
      </c>
      <c r="I21" s="912">
        <f t="shared" si="0"/>
        <v>3.7617749999999992</v>
      </c>
      <c r="J21" s="912">
        <f t="shared" si="1"/>
        <v>4.3859812499999995</v>
      </c>
      <c r="K21" s="912">
        <v>0</v>
      </c>
      <c r="L21" s="912">
        <v>0</v>
      </c>
    </row>
    <row r="22" spans="1:12" s="659" customFormat="1" ht="20.25" customHeight="1" x14ac:dyDescent="0.3">
      <c r="A22" s="233">
        <v>11</v>
      </c>
      <c r="B22" s="173" t="s">
        <v>657</v>
      </c>
      <c r="C22" s="913">
        <f>'T5D_Drought_PLAN_vs_PRFM   (2)'!D22*40*0.00015</f>
        <v>360.46799999999996</v>
      </c>
      <c r="D22" s="914">
        <f>'T5D_Drought_PLAN_vs_PRFM   (2)'!J22*40*0.00015</f>
        <v>109.32</v>
      </c>
      <c r="E22" s="912">
        <f>('T5D_Drought_PLAN_vs_PRFM   (2)'!D22*40*7.18)/100000</f>
        <v>172.54401599999997</v>
      </c>
      <c r="F22" s="913">
        <f>('T5D_Drought_PLAN_vs_PRFM   (2)'!J22*40*7.18)/100000</f>
        <v>52.327840000000002</v>
      </c>
      <c r="G22" s="912">
        <v>0</v>
      </c>
      <c r="H22" s="912">
        <v>0</v>
      </c>
      <c r="I22" s="912">
        <f t="shared" si="0"/>
        <v>2.7035099999999996</v>
      </c>
      <c r="J22" s="912">
        <f t="shared" si="1"/>
        <v>0.81989999999999996</v>
      </c>
      <c r="K22" s="912">
        <v>0</v>
      </c>
      <c r="L22" s="912">
        <v>0</v>
      </c>
    </row>
    <row r="23" spans="1:12" s="659" customFormat="1" ht="20.25" customHeight="1" x14ac:dyDescent="0.3">
      <c r="A23" s="233">
        <v>12</v>
      </c>
      <c r="B23" s="173" t="s">
        <v>658</v>
      </c>
      <c r="C23" s="913">
        <f>'T5D_Drought_PLAN_vs_PRFM   (2)'!D23*40*0.00015</f>
        <v>653.74799999999993</v>
      </c>
      <c r="D23" s="914">
        <f>'T5D_Drought_PLAN_vs_PRFM   (2)'!J23*40*0.00015</f>
        <v>1441.7696999999998</v>
      </c>
      <c r="E23" s="912">
        <f>('T5D_Drought_PLAN_vs_PRFM   (2)'!D23*40*7.18)/100000</f>
        <v>312.92737599999998</v>
      </c>
      <c r="F23" s="913">
        <f>('T5D_Drought_PLAN_vs_PRFM   (2)'!J23*40*7.18)/100000</f>
        <v>690.12709640000003</v>
      </c>
      <c r="G23" s="912">
        <v>0</v>
      </c>
      <c r="H23" s="912">
        <v>0</v>
      </c>
      <c r="I23" s="912">
        <f>C23*750/100000</f>
        <v>4.9031099999999999</v>
      </c>
      <c r="J23" s="912">
        <f t="shared" ref="J23:J24" si="2">D23*750/100000</f>
        <v>10.813272749999999</v>
      </c>
      <c r="K23" s="912">
        <v>0</v>
      </c>
      <c r="L23" s="912">
        <v>0</v>
      </c>
    </row>
    <row r="24" spans="1:12" s="659" customFormat="1" ht="20.25" customHeight="1" x14ac:dyDescent="0.3">
      <c r="A24" s="233">
        <v>13</v>
      </c>
      <c r="B24" s="173" t="s">
        <v>659</v>
      </c>
      <c r="C24" s="913">
        <f>'T5D_Drought_PLAN_vs_PRFM   (2)'!D24*40*0.00015</f>
        <v>516.73199999999997</v>
      </c>
      <c r="D24" s="914">
        <f>'T5D_Drought_PLAN_vs_PRFM   (2)'!J24*40*0.00015</f>
        <v>542.89799999999991</v>
      </c>
      <c r="E24" s="912">
        <f>('T5D_Drought_PLAN_vs_PRFM   (2)'!D24*40*7.18)/100000</f>
        <v>247.34238399999998</v>
      </c>
      <c r="F24" s="913">
        <f>('T5D_Drought_PLAN_vs_PRFM   (2)'!J24*40*7.18)/100000</f>
        <v>259.86717599999997</v>
      </c>
      <c r="G24" s="912">
        <v>0</v>
      </c>
      <c r="H24" s="912">
        <v>0</v>
      </c>
      <c r="I24" s="912">
        <f>C24*750/100000</f>
        <v>3.8754900000000001</v>
      </c>
      <c r="J24" s="912">
        <f t="shared" si="2"/>
        <v>4.0717349999999994</v>
      </c>
      <c r="K24" s="912">
        <v>0</v>
      </c>
      <c r="L24" s="912">
        <v>0</v>
      </c>
    </row>
    <row r="25" spans="1:12" s="659" customFormat="1" ht="20.25" customHeight="1" x14ac:dyDescent="0.3">
      <c r="A25" s="1414" t="s">
        <v>660</v>
      </c>
      <c r="B25" s="1414"/>
      <c r="C25" s="913">
        <f>SUM(C12:C24)</f>
        <v>2795.2019999999998</v>
      </c>
      <c r="D25" s="913">
        <f>SUM(D12:D24)</f>
        <v>3507.9007499999998</v>
      </c>
      <c r="E25" s="913">
        <f t="shared" ref="E25:F25" si="3">SUM(E12:E24)</f>
        <v>1337.970024</v>
      </c>
      <c r="F25" s="913">
        <f t="shared" si="3"/>
        <v>1679.1151590000002</v>
      </c>
      <c r="G25" s="912">
        <f>SUM(G12:G24)</f>
        <v>0</v>
      </c>
      <c r="H25" s="912">
        <f>SUM(H12:H24)</f>
        <v>0</v>
      </c>
      <c r="I25" s="912">
        <f>SUM(I12:I24)</f>
        <v>20.964014999999996</v>
      </c>
      <c r="J25" s="912">
        <f t="shared" ref="J25" si="4">SUM(J12:J24)</f>
        <v>26.309255624999999</v>
      </c>
      <c r="K25" s="912">
        <f>SUM(K12:K24)</f>
        <v>0</v>
      </c>
      <c r="L25" s="912">
        <f>SUM(L12:L24)</f>
        <v>0</v>
      </c>
    </row>
    <row r="26" spans="1:12" s="659" customFormat="1" ht="20.25" customHeight="1" x14ac:dyDescent="0.3">
      <c r="A26" s="585"/>
      <c r="B26" s="585"/>
      <c r="C26" s="956"/>
      <c r="D26" s="956"/>
      <c r="E26" s="956"/>
      <c r="F26" s="956"/>
      <c r="G26" s="957"/>
      <c r="H26" s="957"/>
      <c r="I26" s="957"/>
      <c r="J26" s="957"/>
      <c r="K26" s="957"/>
      <c r="L26" s="957"/>
    </row>
    <row r="27" spans="1:12" ht="61.5" customHeight="1" x14ac:dyDescent="0.2">
      <c r="I27" s="1468" t="s">
        <v>646</v>
      </c>
      <c r="J27" s="1468"/>
      <c r="K27" s="1468"/>
      <c r="L27" s="1468"/>
    </row>
  </sheetData>
  <mergeCells count="15">
    <mergeCell ref="I27:L27"/>
    <mergeCell ref="E1:I1"/>
    <mergeCell ref="A2:J2"/>
    <mergeCell ref="A3:J3"/>
    <mergeCell ref="A5:L5"/>
    <mergeCell ref="A8:B8"/>
    <mergeCell ref="K9:L9"/>
    <mergeCell ref="A9:A10"/>
    <mergeCell ref="B9:B10"/>
    <mergeCell ref="C9:D9"/>
    <mergeCell ref="E9:F9"/>
    <mergeCell ref="G9:H9"/>
    <mergeCell ref="I9:J9"/>
    <mergeCell ref="A25:B25"/>
    <mergeCell ref="H8:L8"/>
  </mergeCells>
  <printOptions horizontalCentered="1"/>
  <pageMargins left="0.59055118110236227" right="0.19685039370078741" top="0.23622047244094491" bottom="0.11811023622047245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59999389629810485"/>
  </sheetPr>
  <dimension ref="A1:N29"/>
  <sheetViews>
    <sheetView view="pageBreakPreview" topLeftCell="A7" zoomScale="85" zoomScaleSheetLayoutView="85" workbookViewId="0">
      <selection activeCell="G12" sqref="G12"/>
    </sheetView>
  </sheetViews>
  <sheetFormatPr defaultRowHeight="12.75" x14ac:dyDescent="0.2"/>
  <cols>
    <col min="1" max="1" width="8" customWidth="1"/>
    <col min="2" max="2" width="17.570312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4" ht="12.75" customHeight="1" x14ac:dyDescent="0.2">
      <c r="D1" s="1200"/>
      <c r="E1" s="1200"/>
      <c r="F1" s="1200"/>
      <c r="G1" s="1200"/>
      <c r="H1" s="1200"/>
      <c r="I1" s="1200"/>
      <c r="L1" s="1203" t="s">
        <v>79</v>
      </c>
      <c r="M1" s="1203"/>
    </row>
    <row r="2" spans="1:14" ht="15.75" x14ac:dyDescent="0.25">
      <c r="A2" s="1201" t="s">
        <v>0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</row>
    <row r="3" spans="1:14" ht="20.25" x14ac:dyDescent="0.3">
      <c r="A3" s="1202" t="s">
        <v>793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</row>
    <row r="4" spans="1:14" ht="11.25" customHeight="1" x14ac:dyDescent="0.2"/>
    <row r="5" spans="1:14" ht="15.75" x14ac:dyDescent="0.25">
      <c r="A5" s="1201" t="s">
        <v>804</v>
      </c>
      <c r="B5" s="1201"/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1"/>
    </row>
    <row r="7" spans="1:14" x14ac:dyDescent="0.2">
      <c r="A7" s="1198" t="s">
        <v>661</v>
      </c>
      <c r="B7" s="1198"/>
      <c r="K7" s="49"/>
      <c r="L7" s="1197" t="s">
        <v>924</v>
      </c>
      <c r="M7" s="1197"/>
      <c r="N7" s="1197"/>
    </row>
    <row r="8" spans="1:14" x14ac:dyDescent="0.2">
      <c r="A8" s="12"/>
      <c r="B8" s="12"/>
      <c r="K8" s="45"/>
      <c r="L8" s="53"/>
      <c r="M8" s="56"/>
      <c r="N8" s="53"/>
    </row>
    <row r="9" spans="1:14" s="115" customFormat="1" ht="15.75" customHeight="1" x14ac:dyDescent="0.2">
      <c r="A9" s="1199" t="s">
        <v>2</v>
      </c>
      <c r="B9" s="1199" t="s">
        <v>3</v>
      </c>
      <c r="C9" s="1205" t="s">
        <v>4</v>
      </c>
      <c r="D9" s="1205"/>
      <c r="E9" s="1205"/>
      <c r="F9" s="1205"/>
      <c r="G9" s="1205"/>
      <c r="H9" s="1205" t="s">
        <v>93</v>
      </c>
      <c r="I9" s="1205"/>
      <c r="J9" s="1205"/>
      <c r="K9" s="1205"/>
      <c r="L9" s="1205"/>
      <c r="M9" s="1199" t="s">
        <v>122</v>
      </c>
      <c r="N9" s="1199" t="s">
        <v>123</v>
      </c>
    </row>
    <row r="10" spans="1:14" ht="38.25" x14ac:dyDescent="0.2">
      <c r="A10" s="1199"/>
      <c r="B10" s="1199"/>
      <c r="C10" s="94" t="s">
        <v>5</v>
      </c>
      <c r="D10" s="94" t="s">
        <v>6</v>
      </c>
      <c r="E10" s="94" t="s">
        <v>339</v>
      </c>
      <c r="F10" s="94" t="s">
        <v>91</v>
      </c>
      <c r="G10" s="94" t="s">
        <v>340</v>
      </c>
      <c r="H10" s="94" t="s">
        <v>5</v>
      </c>
      <c r="I10" s="94" t="s">
        <v>6</v>
      </c>
      <c r="J10" s="94" t="s">
        <v>339</v>
      </c>
      <c r="K10" s="94" t="s">
        <v>91</v>
      </c>
      <c r="L10" s="94" t="s">
        <v>341</v>
      </c>
      <c r="M10" s="1199"/>
      <c r="N10" s="1199"/>
    </row>
    <row r="11" spans="1:14" s="10" customFormat="1" x14ac:dyDescent="0.2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  <c r="M11" s="92">
        <v>13</v>
      </c>
      <c r="N11" s="92">
        <v>14</v>
      </c>
    </row>
    <row r="12" spans="1:14" s="112" customFormat="1" ht="24" customHeight="1" x14ac:dyDescent="0.2">
      <c r="A12" s="110">
        <v>1</v>
      </c>
      <c r="B12" s="111" t="s">
        <v>647</v>
      </c>
      <c r="C12" s="283">
        <v>2334</v>
      </c>
      <c r="D12" s="283">
        <v>16</v>
      </c>
      <c r="E12" s="283">
        <v>0</v>
      </c>
      <c r="F12" s="283">
        <v>0</v>
      </c>
      <c r="G12" s="95">
        <v>2350</v>
      </c>
      <c r="H12" s="95">
        <v>2334</v>
      </c>
      <c r="I12" s="95">
        <v>16</v>
      </c>
      <c r="J12" s="95">
        <v>0</v>
      </c>
      <c r="K12" s="95">
        <v>0</v>
      </c>
      <c r="L12" s="95">
        <f>H12+I12+J12+K12</f>
        <v>2350</v>
      </c>
      <c r="M12" s="96">
        <f>G12-L12</f>
        <v>0</v>
      </c>
      <c r="N12" s="1207"/>
    </row>
    <row r="13" spans="1:14" s="112" customFormat="1" ht="24" customHeight="1" x14ac:dyDescent="0.2">
      <c r="A13" s="110">
        <v>2</v>
      </c>
      <c r="B13" s="111" t="s">
        <v>648</v>
      </c>
      <c r="C13" s="283">
        <v>2136</v>
      </c>
      <c r="D13" s="283">
        <v>60</v>
      </c>
      <c r="E13" s="283">
        <v>0</v>
      </c>
      <c r="F13" s="283">
        <v>0</v>
      </c>
      <c r="G13" s="95">
        <v>2196</v>
      </c>
      <c r="H13" s="95">
        <v>2136</v>
      </c>
      <c r="I13" s="95">
        <v>60</v>
      </c>
      <c r="J13" s="95">
        <v>0</v>
      </c>
      <c r="K13" s="95">
        <v>0</v>
      </c>
      <c r="L13" s="95">
        <f t="shared" ref="L13:L24" si="0">H13+I13+J13+K13</f>
        <v>2196</v>
      </c>
      <c r="M13" s="96">
        <f t="shared" ref="M13:M25" si="1">G13-L13</f>
        <v>0</v>
      </c>
      <c r="N13" s="1208"/>
    </row>
    <row r="14" spans="1:14" s="112" customFormat="1" ht="24" customHeight="1" x14ac:dyDescent="0.2">
      <c r="A14" s="110">
        <v>3</v>
      </c>
      <c r="B14" s="111" t="s">
        <v>649</v>
      </c>
      <c r="C14" s="283">
        <v>3184</v>
      </c>
      <c r="D14" s="283">
        <v>44</v>
      </c>
      <c r="E14" s="283">
        <v>0</v>
      </c>
      <c r="F14" s="283">
        <v>2</v>
      </c>
      <c r="G14" s="95">
        <v>3230</v>
      </c>
      <c r="H14" s="95">
        <v>3184</v>
      </c>
      <c r="I14" s="95">
        <v>44</v>
      </c>
      <c r="J14" s="95">
        <v>0</v>
      </c>
      <c r="K14" s="95">
        <v>2</v>
      </c>
      <c r="L14" s="95">
        <f t="shared" si="0"/>
        <v>3230</v>
      </c>
      <c r="M14" s="96">
        <f t="shared" si="1"/>
        <v>0</v>
      </c>
      <c r="N14" s="1208"/>
    </row>
    <row r="15" spans="1:14" s="112" customFormat="1" ht="24" customHeight="1" x14ac:dyDescent="0.2">
      <c r="A15" s="110">
        <v>4</v>
      </c>
      <c r="B15" s="111" t="s">
        <v>650</v>
      </c>
      <c r="C15" s="283">
        <v>3241</v>
      </c>
      <c r="D15" s="283">
        <v>68</v>
      </c>
      <c r="E15" s="283">
        <v>0</v>
      </c>
      <c r="F15" s="283">
        <v>0</v>
      </c>
      <c r="G15" s="95">
        <v>3309</v>
      </c>
      <c r="H15" s="95">
        <v>3241</v>
      </c>
      <c r="I15" s="95">
        <v>68</v>
      </c>
      <c r="J15" s="95">
        <v>0</v>
      </c>
      <c r="K15" s="95">
        <v>0</v>
      </c>
      <c r="L15" s="95">
        <f t="shared" si="0"/>
        <v>3309</v>
      </c>
      <c r="M15" s="96">
        <f t="shared" si="1"/>
        <v>0</v>
      </c>
      <c r="N15" s="1208"/>
    </row>
    <row r="16" spans="1:14" s="112" customFormat="1" ht="24" customHeight="1" x14ac:dyDescent="0.2">
      <c r="A16" s="110">
        <v>5</v>
      </c>
      <c r="B16" s="111" t="s">
        <v>651</v>
      </c>
      <c r="C16" s="283">
        <v>2328</v>
      </c>
      <c r="D16" s="283">
        <v>210</v>
      </c>
      <c r="E16" s="283">
        <v>12</v>
      </c>
      <c r="F16" s="283">
        <v>0</v>
      </c>
      <c r="G16" s="95">
        <v>2550</v>
      </c>
      <c r="H16" s="95">
        <v>2328</v>
      </c>
      <c r="I16" s="95">
        <v>210</v>
      </c>
      <c r="J16" s="95">
        <v>12</v>
      </c>
      <c r="K16" s="95">
        <v>0</v>
      </c>
      <c r="L16" s="95">
        <f t="shared" si="0"/>
        <v>2550</v>
      </c>
      <c r="M16" s="96">
        <f t="shared" si="1"/>
        <v>0</v>
      </c>
      <c r="N16" s="1208"/>
    </row>
    <row r="17" spans="1:14" s="378" customFormat="1" ht="24" customHeight="1" x14ac:dyDescent="0.2">
      <c r="A17" s="120">
        <v>6</v>
      </c>
      <c r="B17" s="130" t="s">
        <v>652</v>
      </c>
      <c r="C17" s="283">
        <v>1832</v>
      </c>
      <c r="D17" s="283">
        <v>364</v>
      </c>
      <c r="E17" s="283">
        <v>7</v>
      </c>
      <c r="F17" s="283">
        <v>4</v>
      </c>
      <c r="G17" s="95">
        <v>2207</v>
      </c>
      <c r="H17" s="283">
        <v>1832</v>
      </c>
      <c r="I17" s="283">
        <v>364</v>
      </c>
      <c r="J17" s="283">
        <v>7</v>
      </c>
      <c r="K17" s="283">
        <v>4</v>
      </c>
      <c r="L17" s="95">
        <f t="shared" si="0"/>
        <v>2207</v>
      </c>
      <c r="M17" s="96">
        <f t="shared" si="1"/>
        <v>0</v>
      </c>
      <c r="N17" s="1208"/>
    </row>
    <row r="18" spans="1:14" s="112" customFormat="1" ht="24" customHeight="1" x14ac:dyDescent="0.2">
      <c r="A18" s="110">
        <v>7</v>
      </c>
      <c r="B18" s="111" t="s">
        <v>653</v>
      </c>
      <c r="C18" s="283">
        <v>2467</v>
      </c>
      <c r="D18" s="283">
        <v>230</v>
      </c>
      <c r="E18" s="283">
        <v>20</v>
      </c>
      <c r="F18" s="283">
        <v>4</v>
      </c>
      <c r="G18" s="95">
        <v>2721</v>
      </c>
      <c r="H18" s="95">
        <v>2467</v>
      </c>
      <c r="I18" s="95">
        <v>230</v>
      </c>
      <c r="J18" s="95">
        <v>20</v>
      </c>
      <c r="K18" s="95">
        <v>4</v>
      </c>
      <c r="L18" s="95">
        <f t="shared" si="0"/>
        <v>2721</v>
      </c>
      <c r="M18" s="96">
        <f t="shared" si="1"/>
        <v>0</v>
      </c>
      <c r="N18" s="1208"/>
    </row>
    <row r="19" spans="1:14" s="112" customFormat="1" ht="24" customHeight="1" x14ac:dyDescent="0.2">
      <c r="A19" s="110">
        <v>8</v>
      </c>
      <c r="B19" s="111" t="s">
        <v>654</v>
      </c>
      <c r="C19" s="283">
        <v>2440</v>
      </c>
      <c r="D19" s="283">
        <v>154</v>
      </c>
      <c r="E19" s="283">
        <v>0</v>
      </c>
      <c r="F19" s="283">
        <v>1</v>
      </c>
      <c r="G19" s="95">
        <v>2595</v>
      </c>
      <c r="H19" s="95">
        <v>2440</v>
      </c>
      <c r="I19" s="95">
        <v>154</v>
      </c>
      <c r="J19" s="95">
        <v>0</v>
      </c>
      <c r="K19" s="95">
        <v>1</v>
      </c>
      <c r="L19" s="95">
        <f t="shared" si="0"/>
        <v>2595</v>
      </c>
      <c r="M19" s="96">
        <f t="shared" si="1"/>
        <v>0</v>
      </c>
      <c r="N19" s="1208"/>
    </row>
    <row r="20" spans="1:14" s="112" customFormat="1" ht="24" customHeight="1" x14ac:dyDescent="0.2">
      <c r="A20" s="110">
        <v>9</v>
      </c>
      <c r="B20" s="111" t="s">
        <v>655</v>
      </c>
      <c r="C20" s="283">
        <v>2572</v>
      </c>
      <c r="D20" s="283">
        <v>74</v>
      </c>
      <c r="E20" s="283">
        <v>21</v>
      </c>
      <c r="F20" s="283">
        <v>19</v>
      </c>
      <c r="G20" s="95">
        <v>2686</v>
      </c>
      <c r="H20" s="95">
        <v>2572</v>
      </c>
      <c r="I20" s="95">
        <v>74</v>
      </c>
      <c r="J20" s="95">
        <v>21</v>
      </c>
      <c r="K20" s="95">
        <v>19</v>
      </c>
      <c r="L20" s="95">
        <f t="shared" si="0"/>
        <v>2686</v>
      </c>
      <c r="M20" s="96">
        <f t="shared" si="1"/>
        <v>0</v>
      </c>
      <c r="N20" s="1208"/>
    </row>
    <row r="21" spans="1:14" s="112" customFormat="1" ht="24" customHeight="1" x14ac:dyDescent="0.2">
      <c r="A21" s="110">
        <v>10</v>
      </c>
      <c r="B21" s="111" t="s">
        <v>656</v>
      </c>
      <c r="C21" s="1057">
        <v>3714</v>
      </c>
      <c r="D21" s="1057">
        <v>26</v>
      </c>
      <c r="E21" s="1057">
        <v>0</v>
      </c>
      <c r="F21" s="1058">
        <v>1</v>
      </c>
      <c r="G21" s="95">
        <v>3741</v>
      </c>
      <c r="H21" s="1057">
        <v>3714</v>
      </c>
      <c r="I21" s="1057">
        <v>26</v>
      </c>
      <c r="J21" s="1057">
        <v>0</v>
      </c>
      <c r="K21" s="1057">
        <v>1</v>
      </c>
      <c r="L21" s="95">
        <f t="shared" si="0"/>
        <v>3741</v>
      </c>
      <c r="M21" s="96">
        <f t="shared" si="1"/>
        <v>0</v>
      </c>
      <c r="N21" s="1208"/>
    </row>
    <row r="22" spans="1:14" s="112" customFormat="1" ht="24" customHeight="1" x14ac:dyDescent="0.2">
      <c r="A22" s="110">
        <v>11</v>
      </c>
      <c r="B22" s="111" t="s">
        <v>657</v>
      </c>
      <c r="C22" s="283">
        <v>2554</v>
      </c>
      <c r="D22" s="283">
        <v>69</v>
      </c>
      <c r="E22" s="283">
        <v>0</v>
      </c>
      <c r="F22" s="283">
        <v>37</v>
      </c>
      <c r="G22" s="95">
        <v>2660</v>
      </c>
      <c r="H22" s="95">
        <v>2554</v>
      </c>
      <c r="I22" s="95">
        <v>69</v>
      </c>
      <c r="J22" s="95">
        <v>0</v>
      </c>
      <c r="K22" s="95">
        <v>37</v>
      </c>
      <c r="L22" s="95">
        <f t="shared" si="0"/>
        <v>2660</v>
      </c>
      <c r="M22" s="96">
        <f t="shared" si="1"/>
        <v>0</v>
      </c>
      <c r="N22" s="1208"/>
    </row>
    <row r="23" spans="1:14" s="112" customFormat="1" ht="24" customHeight="1" x14ac:dyDescent="0.2">
      <c r="A23" s="110">
        <v>12</v>
      </c>
      <c r="B23" s="111" t="s">
        <v>658</v>
      </c>
      <c r="C23" s="283">
        <v>2654</v>
      </c>
      <c r="D23" s="283">
        <v>23</v>
      </c>
      <c r="E23" s="283">
        <v>0</v>
      </c>
      <c r="F23" s="283">
        <v>10</v>
      </c>
      <c r="G23" s="95">
        <v>2687</v>
      </c>
      <c r="H23" s="95">
        <v>2654</v>
      </c>
      <c r="I23" s="95">
        <v>23</v>
      </c>
      <c r="J23" s="95">
        <v>0</v>
      </c>
      <c r="K23" s="95">
        <v>10</v>
      </c>
      <c r="L23" s="95">
        <f t="shared" si="0"/>
        <v>2687</v>
      </c>
      <c r="M23" s="96">
        <f t="shared" si="1"/>
        <v>0</v>
      </c>
      <c r="N23" s="1208"/>
    </row>
    <row r="24" spans="1:14" s="112" customFormat="1" ht="24" customHeight="1" x14ac:dyDescent="0.2">
      <c r="A24" s="110">
        <v>13</v>
      </c>
      <c r="B24" s="111" t="s">
        <v>659</v>
      </c>
      <c r="C24" s="283">
        <v>1793</v>
      </c>
      <c r="D24" s="283">
        <v>100</v>
      </c>
      <c r="E24" s="283">
        <v>4</v>
      </c>
      <c r="F24" s="283">
        <v>47</v>
      </c>
      <c r="G24" s="95">
        <v>1944</v>
      </c>
      <c r="H24" s="95">
        <v>1793</v>
      </c>
      <c r="I24" s="95">
        <v>100</v>
      </c>
      <c r="J24" s="95">
        <v>4</v>
      </c>
      <c r="K24" s="95">
        <v>47</v>
      </c>
      <c r="L24" s="95">
        <f t="shared" si="0"/>
        <v>1944</v>
      </c>
      <c r="M24" s="96">
        <f t="shared" si="1"/>
        <v>0</v>
      </c>
      <c r="N24" s="1209"/>
    </row>
    <row r="25" spans="1:14" s="113" customFormat="1" ht="24" customHeight="1" x14ac:dyDescent="0.25">
      <c r="A25" s="1206" t="s">
        <v>660</v>
      </c>
      <c r="B25" s="1206"/>
      <c r="C25" s="284">
        <f>SUM(C12:C24)</f>
        <v>33249</v>
      </c>
      <c r="D25" s="284">
        <f t="shared" ref="D25:L25" si="2">SUM(D12:D24)</f>
        <v>1438</v>
      </c>
      <c r="E25" s="284">
        <f t="shared" si="2"/>
        <v>64</v>
      </c>
      <c r="F25" s="284">
        <f t="shared" si="2"/>
        <v>125</v>
      </c>
      <c r="G25" s="284">
        <f t="shared" si="2"/>
        <v>34876</v>
      </c>
      <c r="H25" s="284">
        <f t="shared" si="2"/>
        <v>33249</v>
      </c>
      <c r="I25" s="284">
        <f t="shared" si="2"/>
        <v>1438</v>
      </c>
      <c r="J25" s="284">
        <f t="shared" si="2"/>
        <v>64</v>
      </c>
      <c r="K25" s="284">
        <f t="shared" si="2"/>
        <v>125</v>
      </c>
      <c r="L25" s="284">
        <f t="shared" si="2"/>
        <v>34876</v>
      </c>
      <c r="M25" s="96">
        <f t="shared" si="1"/>
        <v>0</v>
      </c>
      <c r="N25" s="284">
        <f t="shared" ref="N25" si="3">SUM(N12:N24)</f>
        <v>0</v>
      </c>
    </row>
    <row r="26" spans="1:14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4" x14ac:dyDescent="0.2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4" s="37" customFormat="1" ht="63" customHeight="1" x14ac:dyDescent="0.2">
      <c r="A28" s="1104" t="s">
        <v>9</v>
      </c>
      <c r="B28" s="1104"/>
      <c r="C28" s="1104"/>
      <c r="D28" s="1104"/>
      <c r="E28" s="98"/>
      <c r="I28" s="104"/>
      <c r="J28" s="104"/>
      <c r="K28" s="1104" t="s">
        <v>646</v>
      </c>
      <c r="L28" s="1104"/>
      <c r="M28" s="1104"/>
      <c r="N28" s="1104"/>
    </row>
    <row r="29" spans="1:14" x14ac:dyDescent="0.2">
      <c r="A29" s="1204"/>
      <c r="B29" s="1204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</row>
  </sheetData>
  <mergeCells count="18">
    <mergeCell ref="A29:M29"/>
    <mergeCell ref="H9:L9"/>
    <mergeCell ref="C9:G9"/>
    <mergeCell ref="N9:N10"/>
    <mergeCell ref="A25:B25"/>
    <mergeCell ref="A28:D28"/>
    <mergeCell ref="K28:N28"/>
    <mergeCell ref="N12:N24"/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7.874015748031496E-2" top="0.23622047244094491" bottom="0" header="7.874015748031496E-2" footer="7.874015748031496E-2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59999389629810485"/>
    <pageSetUpPr fitToPage="1"/>
  </sheetPr>
  <dimension ref="A1:N27"/>
  <sheetViews>
    <sheetView view="pageBreakPreview" topLeftCell="A10" zoomScale="90" zoomScaleSheetLayoutView="90" workbookViewId="0">
      <selection activeCell="M26" sqref="M26"/>
    </sheetView>
  </sheetViews>
  <sheetFormatPr defaultRowHeight="12.75" x14ac:dyDescent="0.2"/>
  <cols>
    <col min="1" max="1" width="7.5703125" customWidth="1"/>
    <col min="2" max="2" width="17.2851562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4" ht="12.75" customHeight="1" x14ac:dyDescent="0.2">
      <c r="D1" s="1200"/>
      <c r="E1" s="1200"/>
      <c r="F1" s="1200"/>
      <c r="G1" s="1200"/>
      <c r="H1" s="1200"/>
      <c r="I1" s="1200"/>
      <c r="J1" s="1200"/>
      <c r="K1" s="1"/>
      <c r="M1" s="46" t="s">
        <v>80</v>
      </c>
    </row>
    <row r="2" spans="1:14" ht="15" x14ac:dyDescent="0.2">
      <c r="A2" s="1210" t="s">
        <v>0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210"/>
      <c r="M2" s="1210"/>
      <c r="N2" s="1210"/>
    </row>
    <row r="3" spans="1:14" ht="20.25" x14ac:dyDescent="0.3">
      <c r="A3" s="1202" t="s">
        <v>793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</row>
    <row r="4" spans="1:14" ht="11.25" customHeight="1" x14ac:dyDescent="0.2"/>
    <row r="5" spans="1:14" ht="15.75" x14ac:dyDescent="0.25">
      <c r="A5" s="1211" t="s">
        <v>805</v>
      </c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211"/>
      <c r="M5" s="1211"/>
      <c r="N5" s="1211"/>
    </row>
    <row r="7" spans="1:14" x14ac:dyDescent="0.2">
      <c r="A7" s="1198" t="s">
        <v>662</v>
      </c>
      <c r="B7" s="1198"/>
      <c r="L7" s="1197" t="s">
        <v>967</v>
      </c>
      <c r="M7" s="1197"/>
      <c r="N7" s="1197"/>
    </row>
    <row r="8" spans="1:14" s="109" customFormat="1" ht="15.75" customHeight="1" x14ac:dyDescent="0.2">
      <c r="A8" s="1212" t="s">
        <v>2</v>
      </c>
      <c r="B8" s="1212" t="s">
        <v>3</v>
      </c>
      <c r="C8" s="1205" t="s">
        <v>4</v>
      </c>
      <c r="D8" s="1205"/>
      <c r="E8" s="1205"/>
      <c r="F8" s="1205"/>
      <c r="G8" s="1205"/>
      <c r="H8" s="1205" t="s">
        <v>93</v>
      </c>
      <c r="I8" s="1205"/>
      <c r="J8" s="1205"/>
      <c r="K8" s="1205"/>
      <c r="L8" s="1205"/>
      <c r="M8" s="1212" t="s">
        <v>122</v>
      </c>
      <c r="N8" s="1199" t="s">
        <v>123</v>
      </c>
    </row>
    <row r="9" spans="1:14" s="109" customFormat="1" ht="51" x14ac:dyDescent="0.2">
      <c r="A9" s="1213"/>
      <c r="B9" s="1213"/>
      <c r="C9" s="94" t="s">
        <v>5</v>
      </c>
      <c r="D9" s="94" t="s">
        <v>6</v>
      </c>
      <c r="E9" s="94" t="s">
        <v>339</v>
      </c>
      <c r="F9" s="94" t="s">
        <v>91</v>
      </c>
      <c r="G9" s="94" t="s">
        <v>191</v>
      </c>
      <c r="H9" s="94" t="s">
        <v>5</v>
      </c>
      <c r="I9" s="94" t="s">
        <v>6</v>
      </c>
      <c r="J9" s="94" t="s">
        <v>339</v>
      </c>
      <c r="K9" s="94" t="s">
        <v>91</v>
      </c>
      <c r="L9" s="94" t="s">
        <v>190</v>
      </c>
      <c r="M9" s="1213"/>
      <c r="N9" s="1199"/>
    </row>
    <row r="10" spans="1:14" s="10" customFormat="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s="112" customFormat="1" ht="24" customHeight="1" x14ac:dyDescent="0.25">
      <c r="A11" s="110">
        <v>1</v>
      </c>
      <c r="B11" s="111" t="s">
        <v>647</v>
      </c>
      <c r="C11" s="283">
        <v>421</v>
      </c>
      <c r="D11" s="283">
        <v>4</v>
      </c>
      <c r="E11" s="283">
        <v>0</v>
      </c>
      <c r="F11" s="283">
        <v>0</v>
      </c>
      <c r="G11" s="95">
        <f>SUM(C11:F11)</f>
        <v>425</v>
      </c>
      <c r="H11" s="95">
        <v>421</v>
      </c>
      <c r="I11" s="95">
        <v>4</v>
      </c>
      <c r="J11" s="95">
        <v>0</v>
      </c>
      <c r="K11" s="95">
        <v>0</v>
      </c>
      <c r="L11" s="95">
        <f>SUM(H11:K11)</f>
        <v>425</v>
      </c>
      <c r="M11" s="95">
        <v>0</v>
      </c>
      <c r="N11" s="285"/>
    </row>
    <row r="12" spans="1:14" s="112" customFormat="1" ht="24" customHeight="1" x14ac:dyDescent="0.25">
      <c r="A12" s="110">
        <v>2</v>
      </c>
      <c r="B12" s="111" t="s">
        <v>648</v>
      </c>
      <c r="C12" s="283">
        <v>228</v>
      </c>
      <c r="D12" s="283">
        <v>5</v>
      </c>
      <c r="E12" s="283">
        <v>0</v>
      </c>
      <c r="F12" s="283">
        <v>0</v>
      </c>
      <c r="G12" s="95">
        <f t="shared" ref="G12:G23" si="0">SUM(C12:F12)</f>
        <v>233</v>
      </c>
      <c r="H12" s="95">
        <v>228</v>
      </c>
      <c r="I12" s="95">
        <v>5</v>
      </c>
      <c r="J12" s="95">
        <v>0</v>
      </c>
      <c r="K12" s="95">
        <v>0</v>
      </c>
      <c r="L12" s="95">
        <f t="shared" ref="L12:L23" si="1">SUM(H12:K12)</f>
        <v>233</v>
      </c>
      <c r="M12" s="95">
        <f t="shared" ref="M12:M23" si="2">G12-L12</f>
        <v>0</v>
      </c>
      <c r="N12" s="285"/>
    </row>
    <row r="13" spans="1:14" s="112" customFormat="1" ht="24" customHeight="1" x14ac:dyDescent="0.25">
      <c r="A13" s="110">
        <v>3</v>
      </c>
      <c r="B13" s="111" t="s">
        <v>649</v>
      </c>
      <c r="C13" s="283">
        <v>290</v>
      </c>
      <c r="D13" s="283">
        <v>8</v>
      </c>
      <c r="E13" s="283">
        <v>0</v>
      </c>
      <c r="F13" s="283">
        <v>1</v>
      </c>
      <c r="G13" s="95">
        <f t="shared" si="0"/>
        <v>299</v>
      </c>
      <c r="H13" s="95">
        <v>290</v>
      </c>
      <c r="I13" s="95">
        <v>8</v>
      </c>
      <c r="J13" s="95">
        <v>0</v>
      </c>
      <c r="K13" s="95">
        <v>1</v>
      </c>
      <c r="L13" s="95">
        <f t="shared" si="1"/>
        <v>299</v>
      </c>
      <c r="M13" s="95">
        <f t="shared" si="2"/>
        <v>0</v>
      </c>
      <c r="N13" s="285"/>
    </row>
    <row r="14" spans="1:14" s="112" customFormat="1" ht="24" customHeight="1" x14ac:dyDescent="0.25">
      <c r="A14" s="110">
        <v>4</v>
      </c>
      <c r="B14" s="111" t="s">
        <v>650</v>
      </c>
      <c r="C14" s="283">
        <v>343</v>
      </c>
      <c r="D14" s="283">
        <v>31</v>
      </c>
      <c r="E14" s="283">
        <v>0</v>
      </c>
      <c r="F14" s="283">
        <v>0</v>
      </c>
      <c r="G14" s="95">
        <f t="shared" si="0"/>
        <v>374</v>
      </c>
      <c r="H14" s="95">
        <v>343</v>
      </c>
      <c r="I14" s="95">
        <v>31</v>
      </c>
      <c r="J14" s="95">
        <v>0</v>
      </c>
      <c r="K14" s="95">
        <v>0</v>
      </c>
      <c r="L14" s="95">
        <f t="shared" si="1"/>
        <v>374</v>
      </c>
      <c r="M14" s="95">
        <f t="shared" si="2"/>
        <v>0</v>
      </c>
      <c r="N14" s="285"/>
    </row>
    <row r="15" spans="1:14" s="112" customFormat="1" ht="24" customHeight="1" x14ac:dyDescent="0.25">
      <c r="A15" s="110">
        <v>5</v>
      </c>
      <c r="B15" s="111" t="s">
        <v>651</v>
      </c>
      <c r="C15" s="283">
        <v>235</v>
      </c>
      <c r="D15" s="283">
        <v>12</v>
      </c>
      <c r="E15" s="283">
        <v>0</v>
      </c>
      <c r="F15" s="283">
        <v>0</v>
      </c>
      <c r="G15" s="95">
        <f t="shared" si="0"/>
        <v>247</v>
      </c>
      <c r="H15" s="95">
        <v>235</v>
      </c>
      <c r="I15" s="95">
        <v>12</v>
      </c>
      <c r="J15" s="95">
        <v>0</v>
      </c>
      <c r="K15" s="95">
        <v>0</v>
      </c>
      <c r="L15" s="95">
        <f t="shared" si="1"/>
        <v>247</v>
      </c>
      <c r="M15" s="95">
        <f t="shared" si="2"/>
        <v>0</v>
      </c>
      <c r="N15" s="285"/>
    </row>
    <row r="16" spans="1:14" s="112" customFormat="1" ht="24" customHeight="1" x14ac:dyDescent="0.25">
      <c r="A16" s="110">
        <v>6</v>
      </c>
      <c r="B16" s="111" t="s">
        <v>652</v>
      </c>
      <c r="C16" s="283">
        <v>410</v>
      </c>
      <c r="D16" s="283">
        <v>57</v>
      </c>
      <c r="E16" s="283">
        <v>0</v>
      </c>
      <c r="F16" s="283">
        <v>9</v>
      </c>
      <c r="G16" s="95">
        <f t="shared" si="0"/>
        <v>476</v>
      </c>
      <c r="H16" s="95">
        <v>410</v>
      </c>
      <c r="I16" s="95">
        <v>57</v>
      </c>
      <c r="J16" s="95">
        <v>0</v>
      </c>
      <c r="K16" s="95">
        <v>9</v>
      </c>
      <c r="L16" s="95">
        <f t="shared" si="1"/>
        <v>476</v>
      </c>
      <c r="M16" s="95">
        <f t="shared" si="2"/>
        <v>0</v>
      </c>
      <c r="N16" s="285"/>
    </row>
    <row r="17" spans="1:14" s="112" customFormat="1" ht="24" customHeight="1" x14ac:dyDescent="0.25">
      <c r="A17" s="110">
        <v>7</v>
      </c>
      <c r="B17" s="111" t="s">
        <v>653</v>
      </c>
      <c r="C17" s="283">
        <v>283</v>
      </c>
      <c r="D17" s="283">
        <v>31</v>
      </c>
      <c r="E17" s="283">
        <v>0</v>
      </c>
      <c r="F17" s="283">
        <v>2</v>
      </c>
      <c r="G17" s="95">
        <f t="shared" si="0"/>
        <v>316</v>
      </c>
      <c r="H17" s="95">
        <v>283</v>
      </c>
      <c r="I17" s="95">
        <v>31</v>
      </c>
      <c r="J17" s="95">
        <v>0</v>
      </c>
      <c r="K17" s="95">
        <v>2</v>
      </c>
      <c r="L17" s="95">
        <f t="shared" si="1"/>
        <v>316</v>
      </c>
      <c r="M17" s="95">
        <v>0</v>
      </c>
      <c r="N17" s="285"/>
    </row>
    <row r="18" spans="1:14" s="112" customFormat="1" ht="24" customHeight="1" x14ac:dyDescent="0.25">
      <c r="A18" s="110">
        <v>8</v>
      </c>
      <c r="B18" s="111" t="s">
        <v>654</v>
      </c>
      <c r="C18" s="283">
        <v>345</v>
      </c>
      <c r="D18" s="283">
        <v>0</v>
      </c>
      <c r="E18" s="283">
        <v>0</v>
      </c>
      <c r="F18" s="283">
        <v>2</v>
      </c>
      <c r="G18" s="95">
        <f t="shared" si="0"/>
        <v>347</v>
      </c>
      <c r="H18" s="95">
        <v>345</v>
      </c>
      <c r="I18" s="95">
        <v>0</v>
      </c>
      <c r="J18" s="95">
        <v>0</v>
      </c>
      <c r="K18" s="95">
        <v>2</v>
      </c>
      <c r="L18" s="95">
        <f t="shared" si="1"/>
        <v>347</v>
      </c>
      <c r="M18" s="95">
        <f t="shared" si="2"/>
        <v>0</v>
      </c>
      <c r="N18" s="285"/>
    </row>
    <row r="19" spans="1:14" s="112" customFormat="1" ht="24" customHeight="1" x14ac:dyDescent="0.25">
      <c r="A19" s="110">
        <v>9</v>
      </c>
      <c r="B19" s="111" t="s">
        <v>655</v>
      </c>
      <c r="C19" s="283">
        <v>329</v>
      </c>
      <c r="D19" s="964">
        <v>25</v>
      </c>
      <c r="E19" s="283">
        <v>0</v>
      </c>
      <c r="F19" s="283">
        <v>11</v>
      </c>
      <c r="G19" s="95">
        <f t="shared" si="0"/>
        <v>365</v>
      </c>
      <c r="H19" s="283">
        <v>329</v>
      </c>
      <c r="I19" s="964">
        <v>25</v>
      </c>
      <c r="J19" s="95">
        <v>0</v>
      </c>
      <c r="K19" s="95">
        <v>11</v>
      </c>
      <c r="L19" s="95">
        <f t="shared" si="1"/>
        <v>365</v>
      </c>
      <c r="M19" s="95">
        <f t="shared" si="2"/>
        <v>0</v>
      </c>
      <c r="N19" s="285"/>
    </row>
    <row r="20" spans="1:14" s="112" customFormat="1" ht="24" customHeight="1" x14ac:dyDescent="0.2">
      <c r="A20" s="110">
        <v>10</v>
      </c>
      <c r="B20" s="111" t="s">
        <v>656</v>
      </c>
      <c r="C20" s="963">
        <v>440</v>
      </c>
      <c r="D20" s="963">
        <v>5</v>
      </c>
      <c r="E20" s="963">
        <v>0</v>
      </c>
      <c r="F20" s="963">
        <v>6</v>
      </c>
      <c r="G20" s="95">
        <f t="shared" si="0"/>
        <v>451</v>
      </c>
      <c r="H20" s="963">
        <v>440</v>
      </c>
      <c r="I20" s="963">
        <v>5</v>
      </c>
      <c r="J20" s="963">
        <v>0</v>
      </c>
      <c r="K20" s="963">
        <v>6</v>
      </c>
      <c r="L20" s="95">
        <f t="shared" si="1"/>
        <v>451</v>
      </c>
      <c r="M20" s="95">
        <f t="shared" si="2"/>
        <v>0</v>
      </c>
      <c r="N20" s="288"/>
    </row>
    <row r="21" spans="1:14" s="112" customFormat="1" ht="24" customHeight="1" x14ac:dyDescent="0.25">
      <c r="A21" s="110">
        <v>11</v>
      </c>
      <c r="B21" s="111" t="s">
        <v>657</v>
      </c>
      <c r="C21" s="283">
        <v>293</v>
      </c>
      <c r="D21" s="283">
        <v>35</v>
      </c>
      <c r="E21" s="283">
        <v>0</v>
      </c>
      <c r="F21" s="283">
        <v>0</v>
      </c>
      <c r="G21" s="95">
        <f t="shared" si="0"/>
        <v>328</v>
      </c>
      <c r="H21" s="95">
        <v>293</v>
      </c>
      <c r="I21" s="95">
        <v>35</v>
      </c>
      <c r="J21" s="95">
        <v>0</v>
      </c>
      <c r="K21" s="95">
        <v>0</v>
      </c>
      <c r="L21" s="95">
        <f t="shared" si="1"/>
        <v>328</v>
      </c>
      <c r="M21" s="95">
        <f t="shared" si="2"/>
        <v>0</v>
      </c>
      <c r="N21" s="285"/>
    </row>
    <row r="22" spans="1:14" s="112" customFormat="1" ht="24" customHeight="1" x14ac:dyDescent="0.25">
      <c r="A22" s="110">
        <v>12</v>
      </c>
      <c r="B22" s="111" t="s">
        <v>658</v>
      </c>
      <c r="C22" s="283">
        <v>588</v>
      </c>
      <c r="D22" s="283">
        <v>2</v>
      </c>
      <c r="E22" s="283">
        <v>0</v>
      </c>
      <c r="F22" s="283">
        <v>13</v>
      </c>
      <c r="G22" s="95">
        <f t="shared" si="0"/>
        <v>603</v>
      </c>
      <c r="H22" s="95">
        <v>588</v>
      </c>
      <c r="I22" s="95">
        <v>2</v>
      </c>
      <c r="J22" s="95">
        <v>0</v>
      </c>
      <c r="K22" s="95">
        <v>13</v>
      </c>
      <c r="L22" s="95">
        <f t="shared" si="1"/>
        <v>603</v>
      </c>
      <c r="M22" s="95">
        <v>0</v>
      </c>
      <c r="N22" s="285"/>
    </row>
    <row r="23" spans="1:14" s="112" customFormat="1" ht="24" customHeight="1" x14ac:dyDescent="0.25">
      <c r="A23" s="110">
        <v>13</v>
      </c>
      <c r="B23" s="111" t="s">
        <v>659</v>
      </c>
      <c r="C23" s="283">
        <v>447</v>
      </c>
      <c r="D23" s="283">
        <v>0</v>
      </c>
      <c r="E23" s="283">
        <v>0</v>
      </c>
      <c r="F23" s="283">
        <v>20</v>
      </c>
      <c r="G23" s="95">
        <f t="shared" si="0"/>
        <v>467</v>
      </c>
      <c r="H23" s="95">
        <v>447</v>
      </c>
      <c r="I23" s="95">
        <v>0</v>
      </c>
      <c r="J23" s="95">
        <v>0</v>
      </c>
      <c r="K23" s="95">
        <v>20</v>
      </c>
      <c r="L23" s="95">
        <f t="shared" si="1"/>
        <v>467</v>
      </c>
      <c r="M23" s="95">
        <f t="shared" si="2"/>
        <v>0</v>
      </c>
      <c r="N23" s="285"/>
    </row>
    <row r="24" spans="1:14" s="113" customFormat="1" ht="24" customHeight="1" x14ac:dyDescent="0.25">
      <c r="A24" s="1206" t="s">
        <v>660</v>
      </c>
      <c r="B24" s="1206"/>
      <c r="C24" s="284">
        <f>SUM(C11:C23)</f>
        <v>4652</v>
      </c>
      <c r="D24" s="284">
        <f t="shared" ref="D24:M24" si="3">SUM(D11:D23)</f>
        <v>215</v>
      </c>
      <c r="E24" s="284">
        <f t="shared" si="3"/>
        <v>0</v>
      </c>
      <c r="F24" s="284">
        <f t="shared" si="3"/>
        <v>64</v>
      </c>
      <c r="G24" s="284">
        <f t="shared" si="3"/>
        <v>4931</v>
      </c>
      <c r="H24" s="284">
        <f t="shared" si="3"/>
        <v>4652</v>
      </c>
      <c r="I24" s="284">
        <f t="shared" si="3"/>
        <v>215</v>
      </c>
      <c r="J24" s="284">
        <f t="shared" si="3"/>
        <v>0</v>
      </c>
      <c r="K24" s="284">
        <f t="shared" si="3"/>
        <v>64</v>
      </c>
      <c r="L24" s="284">
        <f t="shared" si="3"/>
        <v>4931</v>
      </c>
      <c r="M24" s="284">
        <f t="shared" si="3"/>
        <v>0</v>
      </c>
      <c r="N24" s="284"/>
    </row>
    <row r="25" spans="1:14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4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4" s="37" customFormat="1" ht="63" customHeight="1" x14ac:dyDescent="0.2">
      <c r="A27" s="1104" t="s">
        <v>9</v>
      </c>
      <c r="B27" s="1104"/>
      <c r="C27" s="1104"/>
      <c r="D27" s="1104"/>
      <c r="E27" s="98"/>
      <c r="I27" s="104"/>
      <c r="J27" s="104"/>
      <c r="K27" s="1104" t="s">
        <v>646</v>
      </c>
      <c r="L27" s="1104"/>
      <c r="M27" s="1104"/>
      <c r="N27" s="1104"/>
    </row>
  </sheetData>
  <mergeCells count="15">
    <mergeCell ref="A24:B24"/>
    <mergeCell ref="A27:D27"/>
    <mergeCell ref="K27:N27"/>
    <mergeCell ref="D1:J1"/>
    <mergeCell ref="A2:N2"/>
    <mergeCell ref="A3:N3"/>
    <mergeCell ref="A5:N5"/>
    <mergeCell ref="L7:N7"/>
    <mergeCell ref="A7:B7"/>
    <mergeCell ref="M8:M9"/>
    <mergeCell ref="N8:N9"/>
    <mergeCell ref="A8:A9"/>
    <mergeCell ref="B8:B9"/>
    <mergeCell ref="C8:G8"/>
    <mergeCell ref="H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66</vt:i4>
      </vt:variant>
    </vt:vector>
  </HeadingPairs>
  <TitlesOfParts>
    <vt:vector size="138" baseType="lpstr">
      <vt:lpstr>First-Page</vt:lpstr>
      <vt:lpstr>Contents</vt:lpstr>
      <vt:lpstr>Sheet1</vt:lpstr>
      <vt:lpstr>AT-1-Gen_Info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 (2)</vt:lpstr>
      <vt:lpstr>T5A_PLAN_vs_PRFM  (3)</vt:lpstr>
      <vt:lpstr>T5B_PLAN_vs_PRFM  (3)</vt:lpstr>
      <vt:lpstr>T5C_Drought_PLAN_vs_PRFM  (2)</vt:lpstr>
      <vt:lpstr>T5D_Drought_PLAN_vs_PRFM   (2)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 Drinking Water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 (2)</vt:lpstr>
      <vt:lpstr>AT26A_NoWD</vt:lpstr>
      <vt:lpstr>AT27_Req_FG_CA_Pry</vt:lpstr>
      <vt:lpstr>AT27A_Req_FG_CA_UPry</vt:lpstr>
      <vt:lpstr>AT27B_Req_FG_CA_NCLP.</vt:lpstr>
      <vt:lpstr>AT27C_Req_FG_Drought -Pry </vt:lpstr>
      <vt:lpstr>AT27D_Req_FG_Drought -UPry </vt:lpstr>
      <vt:lpstr>AT27F_RqFG-Drought-UPy-Remedial</vt:lpstr>
      <vt:lpstr>AT_28_RqmtKitchen</vt:lpstr>
      <vt:lpstr>AT-28A_RqmtPlinthArea</vt:lpstr>
      <vt:lpstr>AT-28A_RqmtPlinthArea (2)</vt:lpstr>
      <vt:lpstr>AT-28A_RqmtPlinth Area</vt:lpstr>
      <vt:lpstr>AT29_K_D</vt:lpstr>
      <vt:lpstr>AT-30_Coook-cum-Helper </vt:lpstr>
      <vt:lpstr>AT_31_Budget_provision</vt:lpstr>
      <vt:lpstr>AT_31_Budget_provision_REmedial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AT_31_Budget_provision!Print_Area</vt:lpstr>
      <vt:lpstr>AT_31_Budget_provision_REmedial!Print_Area</vt:lpstr>
      <vt:lpstr>'AT-10 B'!Print_Area</vt:lpstr>
      <vt:lpstr>'AT-10 C'!Print_Area</vt:lpstr>
      <vt:lpstr>'AT-10 E'!Print_Area</vt:lpstr>
      <vt:lpstr>'AT-10 F Drinking Water'!Print_Area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'AT-1-Gen_Info'!Print_Area</vt:lpstr>
      <vt:lpstr>'AT-24'!Print_Area</vt:lpstr>
      <vt:lpstr>'AT26_NoWD (2)'!Print_Area</vt:lpstr>
      <vt:lpstr>AT26A_NoWD!Print_Area</vt:lpstr>
      <vt:lpstr>AT27_Req_FG_CA_Pry!Print_Area</vt:lpstr>
      <vt:lpstr>AT27A_Req_FG_CA_UPry!Print_Area</vt:lpstr>
      <vt:lpstr>AT27B_Req_FG_CA_NCLP.!Print_Area</vt:lpstr>
      <vt:lpstr>'AT27C_Req_FG_Drought -Pry '!Print_Area</vt:lpstr>
      <vt:lpstr>'AT27D_Req_FG_Drought -UPry '!Print_Area</vt:lpstr>
      <vt:lpstr>'AT27F_RqFG-Drought-UPy-Remedial'!Print_Area</vt:lpstr>
      <vt:lpstr>'AT-28A_RqmtPlinth Area'!Print_Area</vt:lpstr>
      <vt:lpstr>'AT-28A_RqmtPlinthArea'!Print_Area</vt:lpstr>
      <vt:lpstr>'AT-28A_RqmtPlinthArea (2)'!Print_Area</vt:lpstr>
      <vt:lpstr>AT29_K_D!Print_Area</vt:lpstr>
      <vt:lpstr>'AT-2-S1 BUDGET'!Print_Area</vt:lpstr>
      <vt:lpstr>'AT-3'!Print_Area</vt:lpstr>
      <vt:lpstr>'AT-30_Coook-cum-Helper 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'AT-4B'!Print_Area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'T5_PLAN_vs_PRFM (2)'!Print_Area</vt:lpstr>
      <vt:lpstr>'T5A_PLAN_vs_PRFM  (3)'!Print_Area</vt:lpstr>
      <vt:lpstr>'T5B_PLAN_vs_PRFM  (3)'!Print_Area</vt:lpstr>
      <vt:lpstr>'T5C_Drought_PLAN_vs_PRFM  (2)'!Print_Area</vt:lpstr>
      <vt:lpstr>'T5D_Drought_PLAN_vs_PRFM   (2)'!Print_Area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2018-05-04T12:27:57Z</cp:lastPrinted>
  <dcterms:created xsi:type="dcterms:W3CDTF">1996-10-14T23:33:28Z</dcterms:created>
  <dcterms:modified xsi:type="dcterms:W3CDTF">2018-05-31T07:24:27Z</dcterms:modified>
</cp:coreProperties>
</file>